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Natalia\Desktop\RFC2018\"/>
    </mc:Choice>
  </mc:AlternateContent>
  <bookViews>
    <workbookView xWindow="0" yWindow="0" windowWidth="15345" windowHeight="4665" tabRatio="646" firstSheet="4" activeTab="6"/>
  </bookViews>
  <sheets>
    <sheet name="Данные" sheetId="1" r:id="rId1"/>
    <sheet name="Список допущенных" sheetId="15" r:id="rId2"/>
    <sheet name="Наградная ведомость" sheetId="16" r:id="rId3"/>
    <sheet name="Абсолют ИТОГ" sheetId="14" r:id="rId4"/>
    <sheet name="ATV СУ" sheetId="6" r:id="rId5"/>
    <sheet name="ATV ИТОГ" sheetId="7" r:id="rId6"/>
    <sheet name="Hard СУ" sheetId="18" r:id="rId7"/>
    <sheet name="Hard ИТОГ" sheetId="19" r:id="rId8"/>
    <sheet name="Medium СУ" sheetId="20" r:id="rId9"/>
    <sheet name="Medium ИТОГ" sheetId="21" r:id="rId10"/>
    <sheet name="SSV СУ" sheetId="22" r:id="rId11"/>
    <sheet name="SSV ИТОГ" sheetId="23" r:id="rId12"/>
    <sheet name="Light СУ" sheetId="24" r:id="rId13"/>
    <sheet name="Light ИТОГ" sheetId="25" r:id="rId14"/>
    <sheet name="Extra Light СУ" sheetId="26" r:id="rId15"/>
    <sheet name="Extra Light ИТОГ" sheetId="27" r:id="rId16"/>
  </sheets>
  <definedNames>
    <definedName name="Class">Данные!$F$61:$G$64</definedName>
    <definedName name="Ochk">Данные!$B$76:$C$118</definedName>
    <definedName name="_xlnm.Print_Titles" localSheetId="5">'ATV ИТОГ'!$1:$10</definedName>
    <definedName name="_xlnm.Print_Titles" localSheetId="15">'Extra Light ИТОГ'!$1:$9</definedName>
    <definedName name="_xlnm.Print_Titles" localSheetId="7">'Hard ИТОГ'!$1:$9</definedName>
    <definedName name="_xlnm.Print_Titles" localSheetId="13">'Light ИТОГ'!$1:$9</definedName>
    <definedName name="_xlnm.Print_Titles" localSheetId="9">'Medium ИТОГ'!$1:$10</definedName>
    <definedName name="_xlnm.Print_Titles" localSheetId="11">'SSV ИТОГ'!$1:$10</definedName>
    <definedName name="_xlnm.Print_Titles" localSheetId="3">'Абсолют ИТОГ'!$1:$9</definedName>
    <definedName name="_xlnm.Print_Titles" localSheetId="1">'Список допущенных'!$11:$12</definedName>
    <definedName name="Sort">Данные!$G$61:$G$64</definedName>
    <definedName name="SU">Данные!$E$76:$F$107</definedName>
    <definedName name="TAB">Данные!$A$1:$ED$58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N12" i="1" l="1"/>
  <c r="CN13" i="1"/>
  <c r="CN14" i="1"/>
  <c r="CN15" i="1"/>
  <c r="CN16" i="1"/>
  <c r="CN17" i="1"/>
  <c r="CN18" i="1"/>
  <c r="CN11" i="1"/>
  <c r="CM12" i="1"/>
  <c r="CM13" i="1"/>
  <c r="CM14" i="1"/>
  <c r="CM15" i="1"/>
  <c r="CM16" i="1"/>
  <c r="CM17" i="1"/>
  <c r="CM18" i="1"/>
  <c r="CM11" i="1"/>
  <c r="F24" i="27"/>
  <c r="E24" i="27"/>
  <c r="D24" i="27"/>
  <c r="C24" i="27"/>
  <c r="F19" i="27"/>
  <c r="E19" i="27"/>
  <c r="D19" i="27"/>
  <c r="C19" i="27"/>
  <c r="F17" i="27"/>
  <c r="E17" i="27"/>
  <c r="D17" i="27"/>
  <c r="C17" i="27"/>
  <c r="CG39" i="1"/>
  <c r="CO14" i="26"/>
  <c r="CO15" i="26"/>
  <c r="CO16" i="26"/>
  <c r="CO17" i="26"/>
  <c r="CO18" i="26"/>
  <c r="CO19" i="26"/>
  <c r="CO20" i="26"/>
  <c r="CO21" i="26"/>
  <c r="CO22" i="26"/>
  <c r="CO23" i="26"/>
  <c r="CO24" i="26"/>
  <c r="CO25" i="26"/>
  <c r="CO26" i="26"/>
  <c r="CO27" i="26"/>
  <c r="CO28" i="26"/>
  <c r="CO29" i="26"/>
  <c r="CO30" i="26"/>
  <c r="CO13" i="26"/>
  <c r="CK14" i="26"/>
  <c r="CK15" i="26"/>
  <c r="CK16" i="26"/>
  <c r="CK17" i="26"/>
  <c r="CK18" i="26"/>
  <c r="CK19" i="26"/>
  <c r="CK20" i="26"/>
  <c r="CK21" i="26"/>
  <c r="CK22" i="26"/>
  <c r="CK23" i="26"/>
  <c r="CK24" i="26"/>
  <c r="CK25" i="26"/>
  <c r="CK26" i="26"/>
  <c r="CK27" i="26"/>
  <c r="CK28" i="26"/>
  <c r="CK29" i="26"/>
  <c r="CK30" i="26"/>
  <c r="CK13" i="26"/>
  <c r="CG14" i="26"/>
  <c r="CG15" i="26"/>
  <c r="CG16" i="26"/>
  <c r="CG17" i="26"/>
  <c r="CG18" i="26"/>
  <c r="CG19" i="26"/>
  <c r="CG20" i="26"/>
  <c r="CG21" i="26"/>
  <c r="CG22" i="26"/>
  <c r="CG23" i="26"/>
  <c r="CG24" i="26"/>
  <c r="CG25" i="26"/>
  <c r="CG26" i="26"/>
  <c r="CG27" i="26"/>
  <c r="CG28" i="26"/>
  <c r="CG29" i="26"/>
  <c r="CG30" i="26"/>
  <c r="CG13" i="26"/>
  <c r="BQ14" i="26"/>
  <c r="BQ15" i="26"/>
  <c r="BQ16" i="26"/>
  <c r="BQ17" i="26"/>
  <c r="BQ18" i="26"/>
  <c r="BQ19" i="26"/>
  <c r="BQ20" i="26"/>
  <c r="BQ21" i="26"/>
  <c r="BQ22" i="26"/>
  <c r="BQ23" i="26"/>
  <c r="BQ24" i="26"/>
  <c r="BQ25" i="26"/>
  <c r="BQ26" i="26"/>
  <c r="BQ27" i="26"/>
  <c r="BQ28" i="26"/>
  <c r="BQ29" i="26"/>
  <c r="BQ30" i="26"/>
  <c r="BQ13" i="26"/>
  <c r="BU14" i="26"/>
  <c r="BU15" i="26"/>
  <c r="BU16" i="26"/>
  <c r="BU17" i="26"/>
  <c r="BU18" i="26"/>
  <c r="BU19" i="26"/>
  <c r="BU20" i="26"/>
  <c r="BU21" i="26"/>
  <c r="BU22" i="26"/>
  <c r="BU23" i="26"/>
  <c r="BU24" i="26"/>
  <c r="BU25" i="26"/>
  <c r="BU26" i="26"/>
  <c r="BU27" i="26"/>
  <c r="BU28" i="26"/>
  <c r="BU29" i="26"/>
  <c r="BU30" i="26"/>
  <c r="BU13" i="26"/>
  <c r="BY14" i="26"/>
  <c r="BY15" i="26"/>
  <c r="BY16" i="26"/>
  <c r="BY17" i="26"/>
  <c r="BY18" i="26"/>
  <c r="BY19" i="26"/>
  <c r="BY20" i="26"/>
  <c r="BY21" i="26"/>
  <c r="BY22" i="26"/>
  <c r="BY23" i="26"/>
  <c r="BY24" i="26"/>
  <c r="BY25" i="26"/>
  <c r="BY26" i="26"/>
  <c r="BY27" i="26"/>
  <c r="BY28" i="26"/>
  <c r="BY29" i="26"/>
  <c r="BY30" i="26"/>
  <c r="BY13" i="26"/>
  <c r="BR14" i="26"/>
  <c r="BR15" i="26"/>
  <c r="BR16" i="26"/>
  <c r="BR17" i="26"/>
  <c r="BR18" i="26"/>
  <c r="BR19" i="26"/>
  <c r="BR20" i="26"/>
  <c r="BR21" i="26"/>
  <c r="BR22" i="26"/>
  <c r="BR23" i="26"/>
  <c r="BR24" i="26"/>
  <c r="BR25" i="26"/>
  <c r="BR26" i="26"/>
  <c r="BR27" i="26"/>
  <c r="BR28" i="26"/>
  <c r="BR29" i="26"/>
  <c r="BR30" i="26"/>
  <c r="BJ14" i="26"/>
  <c r="BJ15" i="26"/>
  <c r="BJ16" i="26"/>
  <c r="BJ17" i="26"/>
  <c r="BJ18" i="26"/>
  <c r="BJ19" i="26"/>
  <c r="BJ20" i="26"/>
  <c r="BJ21" i="26"/>
  <c r="BJ22" i="26"/>
  <c r="BJ23" i="26"/>
  <c r="BJ24" i="26"/>
  <c r="BJ25" i="26"/>
  <c r="BJ26" i="26"/>
  <c r="BJ27" i="26"/>
  <c r="BJ28" i="26"/>
  <c r="BJ29" i="26"/>
  <c r="BJ30" i="26"/>
  <c r="BR13" i="26"/>
  <c r="BJ13" i="26"/>
  <c r="BF14" i="26"/>
  <c r="BF15" i="26"/>
  <c r="BF16" i="26"/>
  <c r="BF17" i="26"/>
  <c r="BF18" i="26"/>
  <c r="BF19" i="26"/>
  <c r="BF20" i="26"/>
  <c r="BF21" i="26"/>
  <c r="BF22" i="26"/>
  <c r="BF23" i="26"/>
  <c r="BF24" i="26"/>
  <c r="BF25" i="26"/>
  <c r="BF26" i="26"/>
  <c r="BF27" i="26"/>
  <c r="BF28" i="26"/>
  <c r="BF29" i="26"/>
  <c r="BF30" i="26"/>
  <c r="BF13" i="26"/>
  <c r="BB14" i="26"/>
  <c r="BB15" i="26"/>
  <c r="BB16" i="26"/>
  <c r="BB17" i="26"/>
  <c r="BB18" i="26"/>
  <c r="BB19" i="26"/>
  <c r="BB20" i="26"/>
  <c r="BB21" i="26"/>
  <c r="BB22" i="26"/>
  <c r="BB23" i="26"/>
  <c r="BB24" i="26"/>
  <c r="BB25" i="26"/>
  <c r="BB26" i="26"/>
  <c r="BB27" i="26"/>
  <c r="BB28" i="26"/>
  <c r="BB29" i="26"/>
  <c r="BB30" i="26"/>
  <c r="BB13" i="26"/>
  <c r="AT14" i="26"/>
  <c r="AT15" i="26"/>
  <c r="AT16" i="26"/>
  <c r="AT17" i="26"/>
  <c r="AT18" i="26"/>
  <c r="AT19" i="26"/>
  <c r="AT20" i="26"/>
  <c r="AT21" i="26"/>
  <c r="AT22" i="26"/>
  <c r="AT23" i="26"/>
  <c r="AT24" i="26"/>
  <c r="AT25" i="26"/>
  <c r="AT26" i="26"/>
  <c r="AT27" i="26"/>
  <c r="AT28" i="26"/>
  <c r="AT29" i="26"/>
  <c r="AT30" i="26"/>
  <c r="AT13" i="26"/>
  <c r="AP14" i="26"/>
  <c r="AP15" i="26"/>
  <c r="AP16" i="26"/>
  <c r="AP17" i="26"/>
  <c r="AP18" i="26"/>
  <c r="AP19" i="26"/>
  <c r="AP20" i="26"/>
  <c r="AP21" i="26"/>
  <c r="AP22" i="26"/>
  <c r="AP23" i="26"/>
  <c r="AP24" i="26"/>
  <c r="AP25" i="26"/>
  <c r="AP26" i="26"/>
  <c r="AP27" i="26"/>
  <c r="AP28" i="26"/>
  <c r="AP29" i="26"/>
  <c r="AP30" i="26"/>
  <c r="AP13" i="26"/>
  <c r="AL13" i="26"/>
  <c r="AL14" i="26"/>
  <c r="AL15" i="26"/>
  <c r="AL16" i="26"/>
  <c r="AL18" i="26"/>
  <c r="AL19" i="26"/>
  <c r="AL20" i="26"/>
  <c r="AL21" i="26"/>
  <c r="AL22" i="26"/>
  <c r="AL23" i="26"/>
  <c r="AL24" i="26"/>
  <c r="AL25" i="26"/>
  <c r="AL26" i="26"/>
  <c r="AL27" i="26"/>
  <c r="AL28" i="26"/>
  <c r="AL29" i="26"/>
  <c r="AL30" i="26"/>
  <c r="AL17" i="26"/>
  <c r="CF27" i="1"/>
  <c r="CF28" i="1"/>
  <c r="CX32" i="24"/>
  <c r="CW32" i="24"/>
  <c r="CT32" i="24"/>
  <c r="CS32" i="24"/>
  <c r="CP32" i="24"/>
  <c r="CO32" i="24"/>
  <c r="CN32" i="24"/>
  <c r="CM32" i="24"/>
  <c r="CL32" i="24"/>
  <c r="CH32" i="24"/>
  <c r="CG32" i="24"/>
  <c r="CD32" i="24"/>
  <c r="CC32" i="24"/>
  <c r="BZ32" i="24"/>
  <c r="BY32" i="24"/>
  <c r="BX32" i="24"/>
  <c r="BW32" i="24"/>
  <c r="BV32" i="24"/>
  <c r="BR32" i="24"/>
  <c r="BQ32" i="24"/>
  <c r="BN32" i="24"/>
  <c r="BM32" i="24"/>
  <c r="BJ32" i="24"/>
  <c r="BI32" i="24"/>
  <c r="BH32" i="24"/>
  <c r="BG32" i="24"/>
  <c r="BF32" i="24"/>
  <c r="BB32" i="24"/>
  <c r="BA32" i="24"/>
  <c r="AX32" i="24"/>
  <c r="AW32" i="24"/>
  <c r="AT32" i="24"/>
  <c r="AS32" i="24"/>
  <c r="AR32" i="24"/>
  <c r="AQ32" i="24"/>
  <c r="AP32" i="24"/>
  <c r="AL32" i="24"/>
  <c r="AK32" i="24"/>
  <c r="AH32" i="24"/>
  <c r="AG32" i="24"/>
  <c r="AD32" i="24"/>
  <c r="AC32" i="24"/>
  <c r="Z32" i="24"/>
  <c r="Y32" i="24"/>
  <c r="V32" i="24"/>
  <c r="U32" i="24"/>
  <c r="T32" i="24"/>
  <c r="S32" i="24"/>
  <c r="R32" i="24"/>
  <c r="E32" i="24"/>
  <c r="D32" i="24"/>
  <c r="C32" i="24"/>
  <c r="B32" i="24"/>
  <c r="CG17" i="1"/>
  <c r="CG18" i="1"/>
  <c r="CG12" i="1"/>
  <c r="CG13" i="1"/>
  <c r="CG14" i="1"/>
  <c r="AA16" i="20" s="1"/>
  <c r="CG15" i="1"/>
  <c r="CG16" i="1"/>
  <c r="CG11" i="1"/>
  <c r="U16" i="24"/>
  <c r="V16" i="24"/>
  <c r="Y16" i="24"/>
  <c r="Z16" i="24"/>
  <c r="U17" i="24"/>
  <c r="V17" i="24"/>
  <c r="Y17" i="24"/>
  <c r="Z17" i="24"/>
  <c r="U18" i="24"/>
  <c r="V18" i="24"/>
  <c r="Y18" i="24"/>
  <c r="Z18" i="24"/>
  <c r="U19" i="24"/>
  <c r="V19" i="24"/>
  <c r="Y19" i="24"/>
  <c r="Z19" i="24"/>
  <c r="U20" i="24"/>
  <c r="V20" i="24"/>
  <c r="Y20" i="24"/>
  <c r="Z20" i="24"/>
  <c r="U21" i="24"/>
  <c r="V21" i="24"/>
  <c r="W21" i="24"/>
  <c r="Y21" i="24"/>
  <c r="Z21" i="24"/>
  <c r="U22" i="24"/>
  <c r="V22" i="24"/>
  <c r="W22" i="24"/>
  <c r="Y22" i="24"/>
  <c r="Z22" i="24"/>
  <c r="U23" i="24"/>
  <c r="V23" i="24"/>
  <c r="Y23" i="24"/>
  <c r="Z23" i="24"/>
  <c r="U24" i="24"/>
  <c r="V24" i="24"/>
  <c r="Y24" i="24"/>
  <c r="Z24" i="24"/>
  <c r="U25" i="24"/>
  <c r="V25" i="24"/>
  <c r="Y25" i="24"/>
  <c r="Z25" i="24"/>
  <c r="U26" i="24"/>
  <c r="V26" i="24"/>
  <c r="Y26" i="24"/>
  <c r="Z26" i="24"/>
  <c r="U27" i="24"/>
  <c r="V27" i="24"/>
  <c r="Y27" i="24"/>
  <c r="Z27" i="24"/>
  <c r="U28" i="24"/>
  <c r="V28" i="24"/>
  <c r="Y28" i="24"/>
  <c r="Z28" i="24"/>
  <c r="U29" i="24"/>
  <c r="V29" i="24"/>
  <c r="Y29" i="24"/>
  <c r="Z29" i="24"/>
  <c r="U30" i="24"/>
  <c r="V30" i="24"/>
  <c r="Y30" i="24"/>
  <c r="Z30" i="24"/>
  <c r="U31" i="24"/>
  <c r="V31" i="24"/>
  <c r="Y31" i="24"/>
  <c r="Z31" i="24"/>
  <c r="U33" i="24"/>
  <c r="V33" i="24"/>
  <c r="Y33" i="24"/>
  <c r="Z33" i="24"/>
  <c r="Z15" i="24"/>
  <c r="Y15" i="24"/>
  <c r="V15" i="24"/>
  <c r="U15" i="24"/>
  <c r="Z14" i="24"/>
  <c r="Y14" i="24"/>
  <c r="V14" i="24"/>
  <c r="U14" i="24"/>
  <c r="Z13" i="24"/>
  <c r="Y13" i="24"/>
  <c r="V13" i="24"/>
  <c r="U13" i="24"/>
  <c r="Z11" i="24"/>
  <c r="V11" i="24"/>
  <c r="AA20" i="20"/>
  <c r="Z20" i="20"/>
  <c r="Y20" i="20"/>
  <c r="V20" i="20"/>
  <c r="U20" i="20"/>
  <c r="AA19" i="20"/>
  <c r="Z19" i="20"/>
  <c r="Y19" i="20"/>
  <c r="V19" i="20"/>
  <c r="U19" i="20"/>
  <c r="AA18" i="20"/>
  <c r="Z18" i="20"/>
  <c r="Y18" i="20"/>
  <c r="V18" i="20"/>
  <c r="U18" i="20"/>
  <c r="AA17" i="20"/>
  <c r="Z17" i="20"/>
  <c r="Y17" i="20"/>
  <c r="V17" i="20"/>
  <c r="U17" i="20"/>
  <c r="Z16" i="20"/>
  <c r="Y16" i="20"/>
  <c r="V16" i="20"/>
  <c r="U16" i="20"/>
  <c r="AA15" i="20"/>
  <c r="Z15" i="20"/>
  <c r="Y15" i="20"/>
  <c r="V15" i="20"/>
  <c r="U15" i="20"/>
  <c r="AA14" i="20"/>
  <c r="Z14" i="20"/>
  <c r="Y14" i="20"/>
  <c r="V14" i="20"/>
  <c r="U14" i="20"/>
  <c r="AA13" i="20"/>
  <c r="Z13" i="20"/>
  <c r="Y13" i="20"/>
  <c r="V13" i="20"/>
  <c r="U13" i="20"/>
  <c r="Z11" i="20"/>
  <c r="V11" i="20"/>
  <c r="U14" i="18"/>
  <c r="V14" i="18"/>
  <c r="Y14" i="18"/>
  <c r="Z14" i="18"/>
  <c r="U15" i="18"/>
  <c r="V15" i="18"/>
  <c r="Y15" i="18"/>
  <c r="Z15" i="18"/>
  <c r="U16" i="18"/>
  <c r="V16" i="18"/>
  <c r="Y16" i="18"/>
  <c r="Z16" i="18"/>
  <c r="U17" i="18"/>
  <c r="V17" i="18"/>
  <c r="Y17" i="18"/>
  <c r="Z17" i="18"/>
  <c r="U18" i="18"/>
  <c r="V18" i="18"/>
  <c r="Y18" i="18"/>
  <c r="Z18" i="18"/>
  <c r="U19" i="18"/>
  <c r="V19" i="18"/>
  <c r="Y19" i="18"/>
  <c r="Z19" i="18"/>
  <c r="U20" i="18"/>
  <c r="V20" i="18"/>
  <c r="Y20" i="18"/>
  <c r="Z20" i="18"/>
  <c r="V13" i="18"/>
  <c r="Z13" i="18"/>
  <c r="U13" i="18"/>
  <c r="Y13" i="18"/>
  <c r="Z11" i="18"/>
  <c r="V11" i="18"/>
  <c r="AO1" i="18"/>
  <c r="BE1" i="18"/>
  <c r="BU1" i="18"/>
  <c r="CK1" i="18"/>
  <c r="AO2" i="18"/>
  <c r="BE2" i="18"/>
  <c r="BU2" i="18"/>
  <c r="CK2" i="18"/>
  <c r="AO3" i="18"/>
  <c r="BE3" i="18"/>
  <c r="BU3" i="18"/>
  <c r="CK3" i="18"/>
  <c r="AO4" i="18"/>
  <c r="BE4" i="18"/>
  <c r="BU4" i="18"/>
  <c r="CK4" i="18"/>
  <c r="AO5" i="18"/>
  <c r="BE5" i="18"/>
  <c r="BU5" i="18"/>
  <c r="CK5" i="18"/>
  <c r="AO6" i="18"/>
  <c r="BE6" i="18"/>
  <c r="BU6" i="18"/>
  <c r="CK6" i="18"/>
  <c r="AO7" i="18"/>
  <c r="BE7" i="18"/>
  <c r="BU7" i="18"/>
  <c r="CK7" i="18"/>
  <c r="AO8" i="18"/>
  <c r="BE8" i="18"/>
  <c r="BU8" i="18"/>
  <c r="CK8" i="18"/>
  <c r="E24" i="25"/>
  <c r="D24" i="25"/>
  <c r="C24" i="25"/>
  <c r="E16" i="25"/>
  <c r="D16" i="25"/>
  <c r="C16" i="25"/>
  <c r="E31" i="25"/>
  <c r="D31" i="25"/>
  <c r="C31" i="25"/>
  <c r="E19" i="25"/>
  <c r="D19" i="25"/>
  <c r="C19" i="25"/>
  <c r="E30" i="25"/>
  <c r="D30" i="25"/>
  <c r="C30" i="25"/>
  <c r="E20" i="25"/>
  <c r="D20" i="25"/>
  <c r="C20" i="25"/>
  <c r="BS19" i="1" l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W13" i="24" s="1"/>
  <c r="CG19" i="1"/>
  <c r="AA13" i="24" s="1"/>
  <c r="CH19" i="1"/>
  <c r="CI19" i="1"/>
  <c r="CJ19" i="1"/>
  <c r="CK19" i="1"/>
  <c r="CL19" i="1"/>
  <c r="CM19" i="1"/>
  <c r="BC13" i="24" s="1"/>
  <c r="CN19" i="1"/>
  <c r="CO19" i="1"/>
  <c r="CP19" i="1"/>
  <c r="CQ19" i="1"/>
  <c r="CR19" i="1"/>
  <c r="CS19" i="1"/>
  <c r="CT19" i="1"/>
  <c r="CU19" i="1"/>
  <c r="CV19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W14" i="24" s="1"/>
  <c r="CG20" i="1"/>
  <c r="AA14" i="24" s="1"/>
  <c r="CH20" i="1"/>
  <c r="CI20" i="1"/>
  <c r="CJ20" i="1"/>
  <c r="CK20" i="1"/>
  <c r="CL20" i="1"/>
  <c r="CM20" i="1"/>
  <c r="BC14" i="24" s="1"/>
  <c r="CN20" i="1"/>
  <c r="CO20" i="1"/>
  <c r="CP20" i="1"/>
  <c r="CQ20" i="1"/>
  <c r="CR20" i="1"/>
  <c r="CS20" i="1"/>
  <c r="CT20" i="1"/>
  <c r="CU20" i="1"/>
  <c r="CV20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W15" i="24" s="1"/>
  <c r="CG21" i="1"/>
  <c r="AA15" i="24" s="1"/>
  <c r="CH21" i="1"/>
  <c r="CI21" i="1"/>
  <c r="CJ21" i="1"/>
  <c r="CK21" i="1"/>
  <c r="CL21" i="1"/>
  <c r="CM21" i="1"/>
  <c r="BC15" i="24" s="1"/>
  <c r="CN21" i="1"/>
  <c r="CO21" i="1"/>
  <c r="CP21" i="1"/>
  <c r="CQ21" i="1"/>
  <c r="CR21" i="1"/>
  <c r="CS21" i="1"/>
  <c r="CT21" i="1"/>
  <c r="CU21" i="1"/>
  <c r="CV21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W16" i="24" s="1"/>
  <c r="CG22" i="1"/>
  <c r="AA16" i="24" s="1"/>
  <c r="CH22" i="1"/>
  <c r="CI22" i="1"/>
  <c r="CJ22" i="1"/>
  <c r="CK22" i="1"/>
  <c r="CL22" i="1"/>
  <c r="CM22" i="1"/>
  <c r="BC16" i="24" s="1"/>
  <c r="CN22" i="1"/>
  <c r="CO22" i="1"/>
  <c r="CP22" i="1"/>
  <c r="CQ22" i="1"/>
  <c r="CR22" i="1"/>
  <c r="CS22" i="1"/>
  <c r="CT22" i="1"/>
  <c r="CU22" i="1"/>
  <c r="CV22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W17" i="24" s="1"/>
  <c r="CG23" i="1"/>
  <c r="AA17" i="24" s="1"/>
  <c r="CH23" i="1"/>
  <c r="CI23" i="1"/>
  <c r="CJ23" i="1"/>
  <c r="CK23" i="1"/>
  <c r="CL23" i="1"/>
  <c r="CM23" i="1"/>
  <c r="BC17" i="24" s="1"/>
  <c r="CN23" i="1"/>
  <c r="CO23" i="1"/>
  <c r="CP23" i="1"/>
  <c r="CQ23" i="1"/>
  <c r="CR23" i="1"/>
  <c r="CS23" i="1"/>
  <c r="CT23" i="1"/>
  <c r="CU23" i="1"/>
  <c r="CV23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W18" i="24" s="1"/>
  <c r="CG24" i="1"/>
  <c r="AA18" i="24" s="1"/>
  <c r="CH24" i="1"/>
  <c r="CI24" i="1"/>
  <c r="CJ24" i="1"/>
  <c r="CK24" i="1"/>
  <c r="CL24" i="1"/>
  <c r="CM24" i="1"/>
  <c r="BC18" i="24" s="1"/>
  <c r="CN24" i="1"/>
  <c r="CO24" i="1"/>
  <c r="CP24" i="1"/>
  <c r="CQ24" i="1"/>
  <c r="CR24" i="1"/>
  <c r="CS24" i="1"/>
  <c r="CT24" i="1"/>
  <c r="CU24" i="1"/>
  <c r="CV24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W19" i="24" s="1"/>
  <c r="CG25" i="1"/>
  <c r="AA19" i="24" s="1"/>
  <c r="CH25" i="1"/>
  <c r="CI25" i="1"/>
  <c r="CJ25" i="1"/>
  <c r="CK25" i="1"/>
  <c r="CL25" i="1"/>
  <c r="CM25" i="1"/>
  <c r="BC19" i="24" s="1"/>
  <c r="CN25" i="1"/>
  <c r="CO25" i="1"/>
  <c r="CP25" i="1"/>
  <c r="CQ25" i="1"/>
  <c r="CR25" i="1"/>
  <c r="CS25" i="1"/>
  <c r="CT25" i="1"/>
  <c r="CU25" i="1"/>
  <c r="CV25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W20" i="24" s="1"/>
  <c r="CG26" i="1"/>
  <c r="AA20" i="24" s="1"/>
  <c r="CH26" i="1"/>
  <c r="CI26" i="1"/>
  <c r="CJ26" i="1"/>
  <c r="CK26" i="1"/>
  <c r="CL26" i="1"/>
  <c r="CM26" i="1"/>
  <c r="BC20" i="24" s="1"/>
  <c r="CN26" i="1"/>
  <c r="CO26" i="1"/>
  <c r="CP26" i="1"/>
  <c r="CQ26" i="1"/>
  <c r="CR26" i="1"/>
  <c r="CS26" i="1"/>
  <c r="CT26" i="1"/>
  <c r="CU26" i="1"/>
  <c r="CV26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G27" i="1"/>
  <c r="AA21" i="24" s="1"/>
  <c r="CH27" i="1"/>
  <c r="CI27" i="1"/>
  <c r="CJ27" i="1"/>
  <c r="CK27" i="1"/>
  <c r="CL27" i="1"/>
  <c r="CM27" i="1"/>
  <c r="BC21" i="24" s="1"/>
  <c r="CN27" i="1"/>
  <c r="CO27" i="1"/>
  <c r="CP27" i="1"/>
  <c r="CQ27" i="1"/>
  <c r="CR27" i="1"/>
  <c r="CS27" i="1"/>
  <c r="CT27" i="1"/>
  <c r="CU27" i="1"/>
  <c r="CV27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G28" i="1"/>
  <c r="AA22" i="24" s="1"/>
  <c r="CH28" i="1"/>
  <c r="CI28" i="1"/>
  <c r="CJ28" i="1"/>
  <c r="CK28" i="1"/>
  <c r="CL28" i="1"/>
  <c r="CM28" i="1"/>
  <c r="BC22" i="24" s="1"/>
  <c r="CN28" i="1"/>
  <c r="CO28" i="1"/>
  <c r="CP28" i="1"/>
  <c r="CQ28" i="1"/>
  <c r="CR28" i="1"/>
  <c r="CS28" i="1"/>
  <c r="CT28" i="1"/>
  <c r="CU28" i="1"/>
  <c r="CV28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W23" i="24" s="1"/>
  <c r="CG29" i="1"/>
  <c r="AA23" i="24" s="1"/>
  <c r="CH29" i="1"/>
  <c r="CI29" i="1"/>
  <c r="CJ29" i="1"/>
  <c r="CK29" i="1"/>
  <c r="CL29" i="1"/>
  <c r="CM29" i="1"/>
  <c r="BC23" i="24" s="1"/>
  <c r="CN29" i="1"/>
  <c r="CO29" i="1"/>
  <c r="CP29" i="1"/>
  <c r="CQ29" i="1"/>
  <c r="CR29" i="1"/>
  <c r="CS29" i="1"/>
  <c r="CT29" i="1"/>
  <c r="CU29" i="1"/>
  <c r="CV29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W24" i="24" s="1"/>
  <c r="CG30" i="1"/>
  <c r="AA24" i="24" s="1"/>
  <c r="CH30" i="1"/>
  <c r="CI30" i="1"/>
  <c r="CJ30" i="1"/>
  <c r="CK30" i="1"/>
  <c r="CL30" i="1"/>
  <c r="CM30" i="1"/>
  <c r="BC24" i="24" s="1"/>
  <c r="CN30" i="1"/>
  <c r="CO30" i="1"/>
  <c r="CP30" i="1"/>
  <c r="CQ30" i="1"/>
  <c r="CR30" i="1"/>
  <c r="CS30" i="1"/>
  <c r="CT30" i="1"/>
  <c r="CU30" i="1"/>
  <c r="CV30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W25" i="24" s="1"/>
  <c r="CG31" i="1"/>
  <c r="AA25" i="24" s="1"/>
  <c r="CH31" i="1"/>
  <c r="CI31" i="1"/>
  <c r="CJ31" i="1"/>
  <c r="CK31" i="1"/>
  <c r="CL31" i="1"/>
  <c r="CM31" i="1"/>
  <c r="BC25" i="24" s="1"/>
  <c r="CN31" i="1"/>
  <c r="CO31" i="1"/>
  <c r="CP31" i="1"/>
  <c r="CQ31" i="1"/>
  <c r="CR31" i="1"/>
  <c r="CS31" i="1"/>
  <c r="CT31" i="1"/>
  <c r="CU31" i="1"/>
  <c r="CV31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W26" i="24" s="1"/>
  <c r="CG32" i="1"/>
  <c r="AA26" i="24" s="1"/>
  <c r="CH32" i="1"/>
  <c r="CI32" i="1"/>
  <c r="CJ32" i="1"/>
  <c r="CK32" i="1"/>
  <c r="CL32" i="1"/>
  <c r="CM32" i="1"/>
  <c r="BC26" i="24" s="1"/>
  <c r="CN32" i="1"/>
  <c r="CO32" i="1"/>
  <c r="CP32" i="1"/>
  <c r="CQ32" i="1"/>
  <c r="CR32" i="1"/>
  <c r="CS32" i="1"/>
  <c r="CT32" i="1"/>
  <c r="CU32" i="1"/>
  <c r="CV32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W27" i="24" s="1"/>
  <c r="CG33" i="1"/>
  <c r="AA27" i="24" s="1"/>
  <c r="CH33" i="1"/>
  <c r="CI33" i="1"/>
  <c r="CJ33" i="1"/>
  <c r="CK33" i="1"/>
  <c r="CL33" i="1"/>
  <c r="CM33" i="1"/>
  <c r="BC27" i="24" s="1"/>
  <c r="CN33" i="1"/>
  <c r="CO33" i="1"/>
  <c r="CP33" i="1"/>
  <c r="CQ33" i="1"/>
  <c r="CR33" i="1"/>
  <c r="CS33" i="1"/>
  <c r="CT33" i="1"/>
  <c r="CU33" i="1"/>
  <c r="CV33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W28" i="24" s="1"/>
  <c r="CG34" i="1"/>
  <c r="AA28" i="24" s="1"/>
  <c r="CH34" i="1"/>
  <c r="CI34" i="1"/>
  <c r="CJ34" i="1"/>
  <c r="CK34" i="1"/>
  <c r="CL34" i="1"/>
  <c r="CM34" i="1"/>
  <c r="BC28" i="24" s="1"/>
  <c r="CN34" i="1"/>
  <c r="CO34" i="1"/>
  <c r="CP34" i="1"/>
  <c r="CQ34" i="1"/>
  <c r="CR34" i="1"/>
  <c r="CS34" i="1"/>
  <c r="CT34" i="1"/>
  <c r="CU34" i="1"/>
  <c r="CV34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W29" i="24" s="1"/>
  <c r="CG35" i="1"/>
  <c r="AA29" i="24" s="1"/>
  <c r="CH35" i="1"/>
  <c r="CI35" i="1"/>
  <c r="CJ35" i="1"/>
  <c r="CK35" i="1"/>
  <c r="CL35" i="1"/>
  <c r="CM35" i="1"/>
  <c r="BC29" i="24" s="1"/>
  <c r="CN35" i="1"/>
  <c r="CO35" i="1"/>
  <c r="CP35" i="1"/>
  <c r="CQ35" i="1"/>
  <c r="CR35" i="1"/>
  <c r="CS35" i="1"/>
  <c r="CT35" i="1"/>
  <c r="CU35" i="1"/>
  <c r="CV35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W30" i="24" s="1"/>
  <c r="CG36" i="1"/>
  <c r="AA30" i="24" s="1"/>
  <c r="CH36" i="1"/>
  <c r="CI36" i="1"/>
  <c r="CJ36" i="1"/>
  <c r="CK36" i="1"/>
  <c r="CL36" i="1"/>
  <c r="CM36" i="1"/>
  <c r="BC30" i="24" s="1"/>
  <c r="CN36" i="1"/>
  <c r="CO36" i="1"/>
  <c r="CP36" i="1"/>
  <c r="CQ36" i="1"/>
  <c r="CR36" i="1"/>
  <c r="CS36" i="1"/>
  <c r="CT36" i="1"/>
  <c r="CU36" i="1"/>
  <c r="CV36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W31" i="24" s="1"/>
  <c r="CG37" i="1"/>
  <c r="AA31" i="24" s="1"/>
  <c r="CH37" i="1"/>
  <c r="CI37" i="1"/>
  <c r="CJ37" i="1"/>
  <c r="CK37" i="1"/>
  <c r="CL37" i="1"/>
  <c r="CM37" i="1"/>
  <c r="BC31" i="24" s="1"/>
  <c r="CN37" i="1"/>
  <c r="CO37" i="1"/>
  <c r="CP37" i="1"/>
  <c r="CQ37" i="1"/>
  <c r="CR37" i="1"/>
  <c r="CS37" i="1"/>
  <c r="CT37" i="1"/>
  <c r="CU37" i="1"/>
  <c r="CV37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W32" i="24" s="1"/>
  <c r="CG38" i="1"/>
  <c r="AA32" i="24" s="1"/>
  <c r="CH38" i="1"/>
  <c r="AE32" i="24" s="1"/>
  <c r="CI38" i="1"/>
  <c r="AI32" i="24" s="1"/>
  <c r="CJ38" i="1"/>
  <c r="AM32" i="24" s="1"/>
  <c r="CK38" i="1"/>
  <c r="AU32" i="24" s="1"/>
  <c r="CL38" i="1"/>
  <c r="AY32" i="24" s="1"/>
  <c r="CM38" i="1"/>
  <c r="BC32" i="24" s="1"/>
  <c r="CN38" i="1"/>
  <c r="BK32" i="24" s="1"/>
  <c r="CO38" i="1"/>
  <c r="BO32" i="24" s="1"/>
  <c r="CP38" i="1"/>
  <c r="BS32" i="24" s="1"/>
  <c r="CQ38" i="1"/>
  <c r="CA32" i="24" s="1"/>
  <c r="CR38" i="1"/>
  <c r="CE32" i="24" s="1"/>
  <c r="CS38" i="1"/>
  <c r="CI32" i="24" s="1"/>
  <c r="CT38" i="1"/>
  <c r="CQ32" i="24" s="1"/>
  <c r="CU38" i="1"/>
  <c r="CU32" i="24" s="1"/>
  <c r="CV38" i="1"/>
  <c r="CY32" i="24" s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W33" i="24" s="1"/>
  <c r="AA33" i="24"/>
  <c r="CH39" i="1"/>
  <c r="CI39" i="1"/>
  <c r="CJ39" i="1"/>
  <c r="CK39" i="1"/>
  <c r="CL39" i="1"/>
  <c r="CM39" i="1"/>
  <c r="BC33" i="24" s="1"/>
  <c r="CN39" i="1"/>
  <c r="CO39" i="1"/>
  <c r="CP39" i="1"/>
  <c r="CQ39" i="1"/>
  <c r="CR39" i="1"/>
  <c r="CS39" i="1"/>
  <c r="CT39" i="1"/>
  <c r="CU39" i="1"/>
  <c r="CV39" i="1"/>
  <c r="BR20" i="1"/>
  <c r="BR21" i="1"/>
  <c r="BR22" i="1"/>
  <c r="BR23" i="1"/>
  <c r="BR24" i="1"/>
  <c r="BR25" i="1"/>
  <c r="BR26" i="1"/>
  <c r="BR27" i="1"/>
  <c r="BR28" i="1"/>
  <c r="BR29" i="1"/>
  <c r="BR30" i="1"/>
  <c r="BR31" i="1"/>
  <c r="BR32" i="1"/>
  <c r="BR33" i="1"/>
  <c r="BR34" i="1"/>
  <c r="BR35" i="1"/>
  <c r="BR36" i="1"/>
  <c r="BR37" i="1"/>
  <c r="BR38" i="1"/>
  <c r="G32" i="24" s="1"/>
  <c r="BR39" i="1"/>
  <c r="BR19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W13" i="20" s="1"/>
  <c r="CH11" i="1"/>
  <c r="CI11" i="1"/>
  <c r="CJ11" i="1"/>
  <c r="CK11" i="1"/>
  <c r="CL11" i="1"/>
  <c r="BC13" i="20"/>
  <c r="CO11" i="1"/>
  <c r="CP11" i="1"/>
  <c r="CQ11" i="1"/>
  <c r="CR11" i="1"/>
  <c r="CS11" i="1"/>
  <c r="CT11" i="1"/>
  <c r="CU11" i="1"/>
  <c r="CV11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W14" i="20" s="1"/>
  <c r="CH12" i="1"/>
  <c r="CI12" i="1"/>
  <c r="CJ12" i="1"/>
  <c r="CK12" i="1"/>
  <c r="CL12" i="1"/>
  <c r="BC14" i="20"/>
  <c r="CO12" i="1"/>
  <c r="CP12" i="1"/>
  <c r="CQ12" i="1"/>
  <c r="CR12" i="1"/>
  <c r="CS12" i="1"/>
  <c r="CT12" i="1"/>
  <c r="CU12" i="1"/>
  <c r="CV12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W15" i="20" s="1"/>
  <c r="CH13" i="1"/>
  <c r="CI13" i="1"/>
  <c r="CJ13" i="1"/>
  <c r="CK13" i="1"/>
  <c r="CL13" i="1"/>
  <c r="BC15" i="20"/>
  <c r="CO13" i="1"/>
  <c r="CP13" i="1"/>
  <c r="CQ13" i="1"/>
  <c r="CR13" i="1"/>
  <c r="CS13" i="1"/>
  <c r="CT13" i="1"/>
  <c r="CU13" i="1"/>
  <c r="CV13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W16" i="20" s="1"/>
  <c r="CH14" i="1"/>
  <c r="CI14" i="1"/>
  <c r="CJ14" i="1"/>
  <c r="CK14" i="1"/>
  <c r="CL14" i="1"/>
  <c r="BC16" i="20"/>
  <c r="CO14" i="1"/>
  <c r="CP14" i="1"/>
  <c r="CQ14" i="1"/>
  <c r="CR14" i="1"/>
  <c r="CS14" i="1"/>
  <c r="CT14" i="1"/>
  <c r="CU14" i="1"/>
  <c r="CV14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W17" i="20" s="1"/>
  <c r="CH15" i="1"/>
  <c r="CI15" i="1"/>
  <c r="CJ15" i="1"/>
  <c r="CK15" i="1"/>
  <c r="CL15" i="1"/>
  <c r="BC17" i="20"/>
  <c r="CO15" i="1"/>
  <c r="CP15" i="1"/>
  <c r="CQ15" i="1"/>
  <c r="CR15" i="1"/>
  <c r="CS15" i="1"/>
  <c r="CT15" i="1"/>
  <c r="CU15" i="1"/>
  <c r="CV15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W18" i="20" s="1"/>
  <c r="CH16" i="1"/>
  <c r="CI16" i="1"/>
  <c r="CJ16" i="1"/>
  <c r="CK16" i="1"/>
  <c r="CL16" i="1"/>
  <c r="BC18" i="20"/>
  <c r="CO16" i="1"/>
  <c r="CP16" i="1"/>
  <c r="CQ16" i="1"/>
  <c r="CR16" i="1"/>
  <c r="CS16" i="1"/>
  <c r="CT16" i="1"/>
  <c r="CU16" i="1"/>
  <c r="CV16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W19" i="20" s="1"/>
  <c r="CH17" i="1"/>
  <c r="CI17" i="1"/>
  <c r="CJ17" i="1"/>
  <c r="CK17" i="1"/>
  <c r="CL17" i="1"/>
  <c r="BC19" i="20"/>
  <c r="CO17" i="1"/>
  <c r="CP17" i="1"/>
  <c r="CQ17" i="1"/>
  <c r="CR17" i="1"/>
  <c r="CS17" i="1"/>
  <c r="CT17" i="1"/>
  <c r="CU17" i="1"/>
  <c r="CV17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W20" i="20" s="1"/>
  <c r="CH18" i="1"/>
  <c r="CI18" i="1"/>
  <c r="CJ18" i="1"/>
  <c r="CK18" i="1"/>
  <c r="CL18" i="1"/>
  <c r="BC20" i="20"/>
  <c r="CO18" i="1"/>
  <c r="CP18" i="1"/>
  <c r="CQ18" i="1"/>
  <c r="CR18" i="1"/>
  <c r="CS18" i="1"/>
  <c r="CT18" i="1"/>
  <c r="CU18" i="1"/>
  <c r="CV18" i="1"/>
  <c r="BR12" i="1"/>
  <c r="BR13" i="1"/>
  <c r="BR14" i="1"/>
  <c r="BR15" i="1"/>
  <c r="BR16" i="1"/>
  <c r="BR17" i="1"/>
  <c r="BR18" i="1"/>
  <c r="BR11" i="1"/>
  <c r="BV3" i="1"/>
  <c r="BW3" i="1"/>
  <c r="BX3" i="1"/>
  <c r="BY3" i="1"/>
  <c r="BZ3" i="1"/>
  <c r="CA3" i="1"/>
  <c r="CB3" i="1"/>
  <c r="CC3" i="1"/>
  <c r="CD3" i="1"/>
  <c r="CE3" i="1"/>
  <c r="CF3" i="1"/>
  <c r="W13" i="18" s="1"/>
  <c r="CG3" i="1"/>
  <c r="AA13" i="18" s="1"/>
  <c r="CH3" i="1"/>
  <c r="CI3" i="1"/>
  <c r="CJ3" i="1"/>
  <c r="CK3" i="1"/>
  <c r="CL3" i="1"/>
  <c r="CM3" i="1"/>
  <c r="BC13" i="18" s="1"/>
  <c r="CN3" i="1"/>
  <c r="CO3" i="1"/>
  <c r="CP3" i="1"/>
  <c r="CQ3" i="1"/>
  <c r="CR3" i="1"/>
  <c r="CS3" i="1"/>
  <c r="CT3" i="1"/>
  <c r="CU3" i="1"/>
  <c r="CV3" i="1"/>
  <c r="BV4" i="1"/>
  <c r="BW4" i="1"/>
  <c r="BX4" i="1"/>
  <c r="BY4" i="1"/>
  <c r="BZ4" i="1"/>
  <c r="CA4" i="1"/>
  <c r="CB4" i="1"/>
  <c r="CC4" i="1"/>
  <c r="CD4" i="1"/>
  <c r="CE4" i="1"/>
  <c r="CF4" i="1"/>
  <c r="W14" i="18" s="1"/>
  <c r="CG4" i="1"/>
  <c r="AA14" i="18" s="1"/>
  <c r="CH4" i="1"/>
  <c r="CI4" i="1"/>
  <c r="CJ4" i="1"/>
  <c r="CK4" i="1"/>
  <c r="CL4" i="1"/>
  <c r="CM4" i="1"/>
  <c r="BC14" i="18" s="1"/>
  <c r="CN4" i="1"/>
  <c r="CO4" i="1"/>
  <c r="CP4" i="1"/>
  <c r="CQ4" i="1"/>
  <c r="CR4" i="1"/>
  <c r="CS4" i="1"/>
  <c r="CT4" i="1"/>
  <c r="CU4" i="1"/>
  <c r="CV4" i="1"/>
  <c r="BV5" i="1"/>
  <c r="BW5" i="1"/>
  <c r="BX5" i="1"/>
  <c r="BY5" i="1"/>
  <c r="BZ5" i="1"/>
  <c r="CA5" i="1"/>
  <c r="CB5" i="1"/>
  <c r="CC5" i="1"/>
  <c r="CD5" i="1"/>
  <c r="CE5" i="1"/>
  <c r="CF5" i="1"/>
  <c r="W15" i="18" s="1"/>
  <c r="CG5" i="1"/>
  <c r="AA15" i="18" s="1"/>
  <c r="CH5" i="1"/>
  <c r="CI5" i="1"/>
  <c r="CJ5" i="1"/>
  <c r="CK5" i="1"/>
  <c r="CL5" i="1"/>
  <c r="CM5" i="1"/>
  <c r="BC15" i="18" s="1"/>
  <c r="CN5" i="1"/>
  <c r="CO5" i="1"/>
  <c r="CP5" i="1"/>
  <c r="CQ5" i="1"/>
  <c r="CR5" i="1"/>
  <c r="CS5" i="1"/>
  <c r="CT5" i="1"/>
  <c r="CU5" i="1"/>
  <c r="CV5" i="1"/>
  <c r="BV6" i="1"/>
  <c r="BW6" i="1"/>
  <c r="BX6" i="1"/>
  <c r="BY6" i="1"/>
  <c r="BZ6" i="1"/>
  <c r="CA6" i="1"/>
  <c r="CB6" i="1"/>
  <c r="CC6" i="1"/>
  <c r="CD6" i="1"/>
  <c r="CE6" i="1"/>
  <c r="CF6" i="1"/>
  <c r="W16" i="18" s="1"/>
  <c r="CG6" i="1"/>
  <c r="AA16" i="18" s="1"/>
  <c r="CH6" i="1"/>
  <c r="CI6" i="1"/>
  <c r="CJ6" i="1"/>
  <c r="CK6" i="1"/>
  <c r="CL6" i="1"/>
  <c r="CM6" i="1"/>
  <c r="BC16" i="18" s="1"/>
  <c r="CN6" i="1"/>
  <c r="CO6" i="1"/>
  <c r="CP6" i="1"/>
  <c r="CQ6" i="1"/>
  <c r="CR6" i="1"/>
  <c r="CS6" i="1"/>
  <c r="CT6" i="1"/>
  <c r="CU6" i="1"/>
  <c r="CV6" i="1"/>
  <c r="BV7" i="1"/>
  <c r="BW7" i="1"/>
  <c r="BX7" i="1"/>
  <c r="BY7" i="1"/>
  <c r="BZ7" i="1"/>
  <c r="CA7" i="1"/>
  <c r="CB7" i="1"/>
  <c r="CC7" i="1"/>
  <c r="CD7" i="1"/>
  <c r="CE7" i="1"/>
  <c r="CF7" i="1"/>
  <c r="W17" i="18" s="1"/>
  <c r="CG7" i="1"/>
  <c r="AA17" i="18" s="1"/>
  <c r="CH7" i="1"/>
  <c r="CI7" i="1"/>
  <c r="CJ7" i="1"/>
  <c r="CK7" i="1"/>
  <c r="CL7" i="1"/>
  <c r="CM7" i="1"/>
  <c r="BC17" i="18" s="1"/>
  <c r="CN7" i="1"/>
  <c r="CO7" i="1"/>
  <c r="CP7" i="1"/>
  <c r="CQ7" i="1"/>
  <c r="CR7" i="1"/>
  <c r="CS7" i="1"/>
  <c r="CT7" i="1"/>
  <c r="CU7" i="1"/>
  <c r="CV7" i="1"/>
  <c r="BV8" i="1"/>
  <c r="BW8" i="1"/>
  <c r="BX8" i="1"/>
  <c r="BY8" i="1"/>
  <c r="BZ8" i="1"/>
  <c r="CA8" i="1"/>
  <c r="CB8" i="1"/>
  <c r="CC8" i="1"/>
  <c r="CD8" i="1"/>
  <c r="CE8" i="1"/>
  <c r="CF8" i="1"/>
  <c r="W18" i="18" s="1"/>
  <c r="CG8" i="1"/>
  <c r="AA18" i="18" s="1"/>
  <c r="CH8" i="1"/>
  <c r="CI8" i="1"/>
  <c r="CJ8" i="1"/>
  <c r="CK8" i="1"/>
  <c r="CL8" i="1"/>
  <c r="CM8" i="1"/>
  <c r="BC18" i="18" s="1"/>
  <c r="CN8" i="1"/>
  <c r="CO8" i="1"/>
  <c r="CP8" i="1"/>
  <c r="CQ8" i="1"/>
  <c r="CR8" i="1"/>
  <c r="CS8" i="1"/>
  <c r="CT8" i="1"/>
  <c r="CU8" i="1"/>
  <c r="CV8" i="1"/>
  <c r="BV9" i="1"/>
  <c r="BW9" i="1"/>
  <c r="BX9" i="1"/>
  <c r="BY9" i="1"/>
  <c r="BZ9" i="1"/>
  <c r="CA9" i="1"/>
  <c r="CB9" i="1"/>
  <c r="CC9" i="1"/>
  <c r="CD9" i="1"/>
  <c r="CE9" i="1"/>
  <c r="CF9" i="1"/>
  <c r="W19" i="18" s="1"/>
  <c r="CG9" i="1"/>
  <c r="AA19" i="18" s="1"/>
  <c r="CH9" i="1"/>
  <c r="CI9" i="1"/>
  <c r="CJ9" i="1"/>
  <c r="CK9" i="1"/>
  <c r="CL9" i="1"/>
  <c r="CM9" i="1"/>
  <c r="BC19" i="18" s="1"/>
  <c r="CN9" i="1"/>
  <c r="CO9" i="1"/>
  <c r="CP9" i="1"/>
  <c r="CQ9" i="1"/>
  <c r="CR9" i="1"/>
  <c r="CS9" i="1"/>
  <c r="CT9" i="1"/>
  <c r="CU9" i="1"/>
  <c r="CV9" i="1"/>
  <c r="BV10" i="1"/>
  <c r="BW10" i="1"/>
  <c r="BX10" i="1"/>
  <c r="BY10" i="1"/>
  <c r="BZ10" i="1"/>
  <c r="CA10" i="1"/>
  <c r="CB10" i="1"/>
  <c r="CC10" i="1"/>
  <c r="CD10" i="1"/>
  <c r="CE10" i="1"/>
  <c r="CF10" i="1"/>
  <c r="W20" i="18" s="1"/>
  <c r="CG10" i="1"/>
  <c r="AA20" i="18" s="1"/>
  <c r="CH10" i="1"/>
  <c r="CI10" i="1"/>
  <c r="CJ10" i="1"/>
  <c r="CK10" i="1"/>
  <c r="CL10" i="1"/>
  <c r="CM10" i="1"/>
  <c r="BC20" i="18" s="1"/>
  <c r="CN10" i="1"/>
  <c r="CO10" i="1"/>
  <c r="CP10" i="1"/>
  <c r="CQ10" i="1"/>
  <c r="CR10" i="1"/>
  <c r="CS10" i="1"/>
  <c r="CT10" i="1"/>
  <c r="CU10" i="1"/>
  <c r="CV10" i="1"/>
  <c r="BS3" i="1"/>
  <c r="BT3" i="1"/>
  <c r="BU3" i="1"/>
  <c r="BS4" i="1"/>
  <c r="BT4" i="1"/>
  <c r="BU4" i="1"/>
  <c r="BS5" i="1"/>
  <c r="BT5" i="1"/>
  <c r="BU5" i="1"/>
  <c r="BS6" i="1"/>
  <c r="BT6" i="1"/>
  <c r="BU6" i="1"/>
  <c r="BS7" i="1"/>
  <c r="BT7" i="1"/>
  <c r="BU7" i="1"/>
  <c r="BS8" i="1"/>
  <c r="BT8" i="1"/>
  <c r="BU8" i="1"/>
  <c r="BS9" i="1"/>
  <c r="BT9" i="1"/>
  <c r="BU9" i="1"/>
  <c r="BS10" i="1"/>
  <c r="BT10" i="1"/>
  <c r="BU10" i="1"/>
  <c r="BR4" i="1"/>
  <c r="BR5" i="1"/>
  <c r="BR6" i="1"/>
  <c r="BR7" i="1"/>
  <c r="BR8" i="1"/>
  <c r="BR9" i="1"/>
  <c r="BR10" i="1"/>
  <c r="BR3" i="1"/>
  <c r="CV54" i="1" l="1"/>
  <c r="EA54" i="1" s="1"/>
  <c r="CU54" i="1"/>
  <c r="DZ54" i="1" s="1"/>
  <c r="CT54" i="1"/>
  <c r="DY54" i="1" s="1"/>
  <c r="CS54" i="1"/>
  <c r="DX54" i="1" s="1"/>
  <c r="CR54" i="1"/>
  <c r="DW54" i="1" s="1"/>
  <c r="CQ54" i="1"/>
  <c r="DV54" i="1" s="1"/>
  <c r="CP54" i="1"/>
  <c r="DU54" i="1" s="1"/>
  <c r="CO54" i="1"/>
  <c r="DT54" i="1" s="1"/>
  <c r="CN54" i="1"/>
  <c r="DS54" i="1" s="1"/>
  <c r="CM54" i="1"/>
  <c r="DR54" i="1" s="1"/>
  <c r="CL54" i="1"/>
  <c r="DQ54" i="1" s="1"/>
  <c r="CK54" i="1"/>
  <c r="DP54" i="1" s="1"/>
  <c r="CJ54" i="1"/>
  <c r="DO54" i="1" s="1"/>
  <c r="CI54" i="1"/>
  <c r="DN54" i="1" s="1"/>
  <c r="CH54" i="1"/>
  <c r="DM54" i="1" s="1"/>
  <c r="CG54" i="1"/>
  <c r="DL54" i="1" s="1"/>
  <c r="CF54" i="1"/>
  <c r="DK54" i="1" s="1"/>
  <c r="CE54" i="1"/>
  <c r="DJ54" i="1" s="1"/>
  <c r="CD54" i="1"/>
  <c r="DI54" i="1" s="1"/>
  <c r="CC54" i="1"/>
  <c r="DH54" i="1" s="1"/>
  <c r="CB54" i="1"/>
  <c r="DG54" i="1" s="1"/>
  <c r="CA54" i="1"/>
  <c r="DF54" i="1" s="1"/>
  <c r="BZ54" i="1"/>
  <c r="DE54" i="1" s="1"/>
  <c r="BY54" i="1"/>
  <c r="DD54" i="1" s="1"/>
  <c r="BX54" i="1"/>
  <c r="DC54" i="1" s="1"/>
  <c r="BW54" i="1"/>
  <c r="DB54" i="1" s="1"/>
  <c r="BV54" i="1"/>
  <c r="DA54" i="1" s="1"/>
  <c r="BU54" i="1"/>
  <c r="CZ54" i="1" s="1"/>
  <c r="BT54" i="1"/>
  <c r="CY54" i="1" s="1"/>
  <c r="BS54" i="1"/>
  <c r="CX54" i="1" s="1"/>
  <c r="BR54" i="1"/>
  <c r="CW54" i="1" s="1"/>
  <c r="G54" i="1"/>
  <c r="EB54" i="1" l="1"/>
  <c r="EA39" i="1"/>
  <c r="DZ39" i="1"/>
  <c r="DY39" i="1"/>
  <c r="DX39" i="1"/>
  <c r="DW39" i="1"/>
  <c r="DV39" i="1"/>
  <c r="DU39" i="1"/>
  <c r="DT39" i="1"/>
  <c r="DS39" i="1"/>
  <c r="DR39" i="1"/>
  <c r="DQ39" i="1"/>
  <c r="DP39" i="1"/>
  <c r="DO39" i="1"/>
  <c r="DN39" i="1"/>
  <c r="DM39" i="1"/>
  <c r="DL39" i="1"/>
  <c r="AB33" i="24" s="1"/>
  <c r="DK39" i="1"/>
  <c r="X33" i="24" s="1"/>
  <c r="DJ39" i="1"/>
  <c r="DI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G39" i="1"/>
  <c r="EA17" i="1"/>
  <c r="DZ17" i="1"/>
  <c r="DY17" i="1"/>
  <c r="DX17" i="1"/>
  <c r="DW17" i="1"/>
  <c r="DV17" i="1"/>
  <c r="DU17" i="1"/>
  <c r="DT17" i="1"/>
  <c r="DS17" i="1"/>
  <c r="DR17" i="1"/>
  <c r="DQ17" i="1"/>
  <c r="DP17" i="1"/>
  <c r="DO17" i="1"/>
  <c r="DN17" i="1"/>
  <c r="DM17" i="1"/>
  <c r="DL17" i="1"/>
  <c r="AB19" i="20" s="1"/>
  <c r="DK17" i="1"/>
  <c r="X19" i="20" s="1"/>
  <c r="DJ17" i="1"/>
  <c r="DI17" i="1"/>
  <c r="DH17" i="1"/>
  <c r="DG17" i="1"/>
  <c r="DF17" i="1"/>
  <c r="DE17" i="1"/>
  <c r="DD17" i="1"/>
  <c r="DC17" i="1"/>
  <c r="DB17" i="1"/>
  <c r="DA17" i="1"/>
  <c r="CZ17" i="1"/>
  <c r="CY17" i="1"/>
  <c r="CX17" i="1"/>
  <c r="CW17" i="1"/>
  <c r="G17" i="1"/>
  <c r="EB39" i="1" l="1"/>
  <c r="EB17" i="1"/>
  <c r="G57" i="1"/>
  <c r="R14" i="26" l="1"/>
  <c r="S14" i="26"/>
  <c r="T14" i="26"/>
  <c r="U14" i="26"/>
  <c r="V14" i="26"/>
  <c r="Y14" i="26"/>
  <c r="Z14" i="26"/>
  <c r="AC14" i="26"/>
  <c r="AD14" i="26"/>
  <c r="AH14" i="26"/>
  <c r="AI14" i="26"/>
  <c r="AJ14" i="26"/>
  <c r="AK14" i="26"/>
  <c r="AO14" i="26"/>
  <c r="AS14" i="26"/>
  <c r="AX14" i="26"/>
  <c r="AY14" i="26"/>
  <c r="AZ14" i="26"/>
  <c r="BA14" i="26"/>
  <c r="BE14" i="26"/>
  <c r="BI14" i="26"/>
  <c r="BN14" i="26"/>
  <c r="BO14" i="26"/>
  <c r="BP14" i="26"/>
  <c r="BV14" i="26"/>
  <c r="BZ14" i="26"/>
  <c r="CD14" i="26"/>
  <c r="CE14" i="26"/>
  <c r="CF14" i="26"/>
  <c r="CH14" i="26"/>
  <c r="CL14" i="26"/>
  <c r="CP14" i="26"/>
  <c r="R15" i="26"/>
  <c r="S15" i="26"/>
  <c r="T15" i="26"/>
  <c r="U15" i="26"/>
  <c r="V15" i="26"/>
  <c r="Y15" i="26"/>
  <c r="Z15" i="26"/>
  <c r="AC15" i="26"/>
  <c r="AD15" i="26"/>
  <c r="AH15" i="26"/>
  <c r="AI15" i="26"/>
  <c r="AJ15" i="26"/>
  <c r="AK15" i="26"/>
  <c r="AO15" i="26"/>
  <c r="AS15" i="26"/>
  <c r="AX15" i="26"/>
  <c r="AY15" i="26"/>
  <c r="AZ15" i="26"/>
  <c r="BA15" i="26"/>
  <c r="BE15" i="26"/>
  <c r="BI15" i="26"/>
  <c r="BN15" i="26"/>
  <c r="BO15" i="26"/>
  <c r="BP15" i="26"/>
  <c r="BV15" i="26"/>
  <c r="BZ15" i="26"/>
  <c r="CD15" i="26"/>
  <c r="CE15" i="26"/>
  <c r="CF15" i="26"/>
  <c r="CH15" i="26"/>
  <c r="CL15" i="26"/>
  <c r="CP15" i="26"/>
  <c r="R16" i="26"/>
  <c r="S16" i="26"/>
  <c r="T16" i="26"/>
  <c r="U16" i="26"/>
  <c r="V16" i="26"/>
  <c r="Y16" i="26"/>
  <c r="Z16" i="26"/>
  <c r="AC16" i="26"/>
  <c r="AD16" i="26"/>
  <c r="AH16" i="26"/>
  <c r="AI16" i="26"/>
  <c r="AJ16" i="26"/>
  <c r="AK16" i="26"/>
  <c r="AO16" i="26"/>
  <c r="AS16" i="26"/>
  <c r="AX16" i="26"/>
  <c r="AY16" i="26"/>
  <c r="AZ16" i="26"/>
  <c r="BA16" i="26"/>
  <c r="BE16" i="26"/>
  <c r="BI16" i="26"/>
  <c r="BN16" i="26"/>
  <c r="BO16" i="26"/>
  <c r="BP16" i="26"/>
  <c r="BV16" i="26"/>
  <c r="BZ16" i="26"/>
  <c r="CD16" i="26"/>
  <c r="CE16" i="26"/>
  <c r="CF16" i="26"/>
  <c r="CH16" i="26"/>
  <c r="CL16" i="26"/>
  <c r="CP16" i="26"/>
  <c r="R17" i="26"/>
  <c r="S17" i="26"/>
  <c r="T17" i="26"/>
  <c r="U17" i="26"/>
  <c r="V17" i="26"/>
  <c r="Y17" i="26"/>
  <c r="Z17" i="26"/>
  <c r="AC17" i="26"/>
  <c r="AD17" i="26"/>
  <c r="AH17" i="26"/>
  <c r="AI17" i="26"/>
  <c r="AJ17" i="26"/>
  <c r="AK17" i="26"/>
  <c r="AO17" i="26"/>
  <c r="AS17" i="26"/>
  <c r="AX17" i="26"/>
  <c r="AY17" i="26"/>
  <c r="AZ17" i="26"/>
  <c r="BA17" i="26"/>
  <c r="BE17" i="26"/>
  <c r="BI17" i="26"/>
  <c r="BN17" i="26"/>
  <c r="BO17" i="26"/>
  <c r="BP17" i="26"/>
  <c r="BV17" i="26"/>
  <c r="BZ17" i="26"/>
  <c r="CD17" i="26"/>
  <c r="CE17" i="26"/>
  <c r="CF17" i="26"/>
  <c r="CH17" i="26"/>
  <c r="CL17" i="26"/>
  <c r="CP17" i="26"/>
  <c r="R18" i="26"/>
  <c r="S18" i="26"/>
  <c r="T18" i="26"/>
  <c r="U18" i="26"/>
  <c r="V18" i="26"/>
  <c r="Y18" i="26"/>
  <c r="Z18" i="26"/>
  <c r="AC18" i="26"/>
  <c r="AD18" i="26"/>
  <c r="AH18" i="26"/>
  <c r="AI18" i="26"/>
  <c r="AJ18" i="26"/>
  <c r="AK18" i="26"/>
  <c r="AO18" i="26"/>
  <c r="AS18" i="26"/>
  <c r="AX18" i="26"/>
  <c r="AY18" i="26"/>
  <c r="AZ18" i="26"/>
  <c r="BA18" i="26"/>
  <c r="BE18" i="26"/>
  <c r="BI18" i="26"/>
  <c r="BN18" i="26"/>
  <c r="BO18" i="26"/>
  <c r="BP18" i="26"/>
  <c r="BV18" i="26"/>
  <c r="BZ18" i="26"/>
  <c r="CD18" i="26"/>
  <c r="CE18" i="26"/>
  <c r="CF18" i="26"/>
  <c r="CH18" i="26"/>
  <c r="CL18" i="26"/>
  <c r="CP18" i="26"/>
  <c r="R19" i="26"/>
  <c r="S19" i="26"/>
  <c r="T19" i="26"/>
  <c r="U19" i="26"/>
  <c r="V19" i="26"/>
  <c r="Y19" i="26"/>
  <c r="Z19" i="26"/>
  <c r="AC19" i="26"/>
  <c r="AD19" i="26"/>
  <c r="AH19" i="26"/>
  <c r="AI19" i="26"/>
  <c r="AJ19" i="26"/>
  <c r="AK19" i="26"/>
  <c r="AO19" i="26"/>
  <c r="AS19" i="26"/>
  <c r="AX19" i="26"/>
  <c r="AY19" i="26"/>
  <c r="AZ19" i="26"/>
  <c r="BA19" i="26"/>
  <c r="BE19" i="26"/>
  <c r="BI19" i="26"/>
  <c r="BN19" i="26"/>
  <c r="BO19" i="26"/>
  <c r="BP19" i="26"/>
  <c r="BV19" i="26"/>
  <c r="BZ19" i="26"/>
  <c r="CD19" i="26"/>
  <c r="CE19" i="26"/>
  <c r="CF19" i="26"/>
  <c r="CH19" i="26"/>
  <c r="CL19" i="26"/>
  <c r="CP19" i="26"/>
  <c r="R20" i="26"/>
  <c r="S20" i="26"/>
  <c r="T20" i="26"/>
  <c r="U20" i="26"/>
  <c r="V20" i="26"/>
  <c r="Y20" i="26"/>
  <c r="Z20" i="26"/>
  <c r="AC20" i="26"/>
  <c r="AD20" i="26"/>
  <c r="AH20" i="26"/>
  <c r="AI20" i="26"/>
  <c r="AJ20" i="26"/>
  <c r="AK20" i="26"/>
  <c r="AO20" i="26"/>
  <c r="AS20" i="26"/>
  <c r="AX20" i="26"/>
  <c r="AY20" i="26"/>
  <c r="AZ20" i="26"/>
  <c r="BA20" i="26"/>
  <c r="BE20" i="26"/>
  <c r="BI20" i="26"/>
  <c r="BN20" i="26"/>
  <c r="BO20" i="26"/>
  <c r="BP20" i="26"/>
  <c r="BV20" i="26"/>
  <c r="BZ20" i="26"/>
  <c r="CD20" i="26"/>
  <c r="CE20" i="26"/>
  <c r="CF20" i="26"/>
  <c r="CH20" i="26"/>
  <c r="CL20" i="26"/>
  <c r="CP20" i="26"/>
  <c r="R21" i="26"/>
  <c r="S21" i="26"/>
  <c r="T21" i="26"/>
  <c r="U21" i="26"/>
  <c r="V21" i="26"/>
  <c r="Y21" i="26"/>
  <c r="Z21" i="26"/>
  <c r="AC21" i="26"/>
  <c r="AD21" i="26"/>
  <c r="AH21" i="26"/>
  <c r="AI21" i="26"/>
  <c r="AJ21" i="26"/>
  <c r="AK21" i="26"/>
  <c r="AO21" i="26"/>
  <c r="AS21" i="26"/>
  <c r="AX21" i="26"/>
  <c r="AY21" i="26"/>
  <c r="AZ21" i="26"/>
  <c r="BA21" i="26"/>
  <c r="BE21" i="26"/>
  <c r="BI21" i="26"/>
  <c r="BN21" i="26"/>
  <c r="BO21" i="26"/>
  <c r="BP21" i="26"/>
  <c r="BV21" i="26"/>
  <c r="BZ21" i="26"/>
  <c r="CD21" i="26"/>
  <c r="CE21" i="26"/>
  <c r="CF21" i="26"/>
  <c r="CH21" i="26"/>
  <c r="CL21" i="26"/>
  <c r="CP21" i="26"/>
  <c r="R22" i="26"/>
  <c r="S22" i="26"/>
  <c r="T22" i="26"/>
  <c r="U22" i="26"/>
  <c r="V22" i="26"/>
  <c r="Y22" i="26"/>
  <c r="Z22" i="26"/>
  <c r="AC22" i="26"/>
  <c r="AD22" i="26"/>
  <c r="AH22" i="26"/>
  <c r="AI22" i="26"/>
  <c r="AJ22" i="26"/>
  <c r="AK22" i="26"/>
  <c r="AO22" i="26"/>
  <c r="AS22" i="26"/>
  <c r="AX22" i="26"/>
  <c r="AY22" i="26"/>
  <c r="AZ22" i="26"/>
  <c r="BA22" i="26"/>
  <c r="BE22" i="26"/>
  <c r="BI22" i="26"/>
  <c r="BN22" i="26"/>
  <c r="BO22" i="26"/>
  <c r="BP22" i="26"/>
  <c r="BV22" i="26"/>
  <c r="BZ22" i="26"/>
  <c r="CD22" i="26"/>
  <c r="CE22" i="26"/>
  <c r="CF22" i="26"/>
  <c r="CH22" i="26"/>
  <c r="CL22" i="26"/>
  <c r="CP22" i="26"/>
  <c r="R23" i="26"/>
  <c r="S23" i="26"/>
  <c r="T23" i="26"/>
  <c r="U23" i="26"/>
  <c r="V23" i="26"/>
  <c r="Y23" i="26"/>
  <c r="Z23" i="26"/>
  <c r="AC23" i="26"/>
  <c r="AD23" i="26"/>
  <c r="AH23" i="26"/>
  <c r="AI23" i="26"/>
  <c r="AJ23" i="26"/>
  <c r="AK23" i="26"/>
  <c r="AO23" i="26"/>
  <c r="AS23" i="26"/>
  <c r="AX23" i="26"/>
  <c r="AY23" i="26"/>
  <c r="AZ23" i="26"/>
  <c r="BA23" i="26"/>
  <c r="BE23" i="26"/>
  <c r="BI23" i="26"/>
  <c r="BN23" i="26"/>
  <c r="BO23" i="26"/>
  <c r="BP23" i="26"/>
  <c r="BV23" i="26"/>
  <c r="BZ23" i="26"/>
  <c r="CD23" i="26"/>
  <c r="CE23" i="26"/>
  <c r="CF23" i="26"/>
  <c r="CH23" i="26"/>
  <c r="CL23" i="26"/>
  <c r="CP23" i="26"/>
  <c r="R24" i="26"/>
  <c r="S24" i="26"/>
  <c r="T24" i="26"/>
  <c r="U24" i="26"/>
  <c r="V24" i="26"/>
  <c r="Y24" i="26"/>
  <c r="Z24" i="26"/>
  <c r="AC24" i="26"/>
  <c r="AD24" i="26"/>
  <c r="AH24" i="26"/>
  <c r="AI24" i="26"/>
  <c r="AJ24" i="26"/>
  <c r="AK24" i="26"/>
  <c r="AO24" i="26"/>
  <c r="AS24" i="26"/>
  <c r="AX24" i="26"/>
  <c r="AY24" i="26"/>
  <c r="AZ24" i="26"/>
  <c r="BA24" i="26"/>
  <c r="BE24" i="26"/>
  <c r="BI24" i="26"/>
  <c r="BN24" i="26"/>
  <c r="BO24" i="26"/>
  <c r="BP24" i="26"/>
  <c r="BV24" i="26"/>
  <c r="BZ24" i="26"/>
  <c r="CD24" i="26"/>
  <c r="CE24" i="26"/>
  <c r="CF24" i="26"/>
  <c r="CH24" i="26"/>
  <c r="CL24" i="26"/>
  <c r="CP24" i="26"/>
  <c r="R25" i="26"/>
  <c r="S25" i="26"/>
  <c r="T25" i="26"/>
  <c r="U25" i="26"/>
  <c r="V25" i="26"/>
  <c r="Y25" i="26"/>
  <c r="Z25" i="26"/>
  <c r="AC25" i="26"/>
  <c r="AD25" i="26"/>
  <c r="AH25" i="26"/>
  <c r="AI25" i="26"/>
  <c r="AJ25" i="26"/>
  <c r="AK25" i="26"/>
  <c r="AO25" i="26"/>
  <c r="AS25" i="26"/>
  <c r="AX25" i="26"/>
  <c r="AY25" i="26"/>
  <c r="AZ25" i="26"/>
  <c r="BA25" i="26"/>
  <c r="BE25" i="26"/>
  <c r="BI25" i="26"/>
  <c r="BN25" i="26"/>
  <c r="BO25" i="26"/>
  <c r="BP25" i="26"/>
  <c r="BV25" i="26"/>
  <c r="BZ25" i="26"/>
  <c r="CD25" i="26"/>
  <c r="CE25" i="26"/>
  <c r="CF25" i="26"/>
  <c r="CH25" i="26"/>
  <c r="CL25" i="26"/>
  <c r="CP25" i="26"/>
  <c r="R26" i="26"/>
  <c r="S26" i="26"/>
  <c r="T26" i="26"/>
  <c r="U26" i="26"/>
  <c r="V26" i="26"/>
  <c r="Y26" i="26"/>
  <c r="Z26" i="26"/>
  <c r="AC26" i="26"/>
  <c r="AD26" i="26"/>
  <c r="AH26" i="26"/>
  <c r="AI26" i="26"/>
  <c r="AJ26" i="26"/>
  <c r="AK26" i="26"/>
  <c r="AO26" i="26"/>
  <c r="AS26" i="26"/>
  <c r="AX26" i="26"/>
  <c r="AY26" i="26"/>
  <c r="AZ26" i="26"/>
  <c r="BA26" i="26"/>
  <c r="BE26" i="26"/>
  <c r="BI26" i="26"/>
  <c r="BN26" i="26"/>
  <c r="BO26" i="26"/>
  <c r="BP26" i="26"/>
  <c r="BV26" i="26"/>
  <c r="BZ26" i="26"/>
  <c r="CD26" i="26"/>
  <c r="CE26" i="26"/>
  <c r="CF26" i="26"/>
  <c r="CH26" i="26"/>
  <c r="CL26" i="26"/>
  <c r="CP26" i="26"/>
  <c r="R27" i="26"/>
  <c r="S27" i="26"/>
  <c r="T27" i="26"/>
  <c r="U27" i="26"/>
  <c r="V27" i="26"/>
  <c r="Y27" i="26"/>
  <c r="Z27" i="26"/>
  <c r="AC27" i="26"/>
  <c r="AD27" i="26"/>
  <c r="AH27" i="26"/>
  <c r="AI27" i="26"/>
  <c r="AJ27" i="26"/>
  <c r="AK27" i="26"/>
  <c r="AO27" i="26"/>
  <c r="AS27" i="26"/>
  <c r="AX27" i="26"/>
  <c r="AY27" i="26"/>
  <c r="AZ27" i="26"/>
  <c r="BA27" i="26"/>
  <c r="BE27" i="26"/>
  <c r="BI27" i="26"/>
  <c r="BN27" i="26"/>
  <c r="BO27" i="26"/>
  <c r="BP27" i="26"/>
  <c r="BV27" i="26"/>
  <c r="BZ27" i="26"/>
  <c r="CD27" i="26"/>
  <c r="CE27" i="26"/>
  <c r="CF27" i="26"/>
  <c r="CH27" i="26"/>
  <c r="CL27" i="26"/>
  <c r="CP27" i="26"/>
  <c r="R28" i="26"/>
  <c r="S28" i="26"/>
  <c r="T28" i="26"/>
  <c r="U28" i="26"/>
  <c r="V28" i="26"/>
  <c r="Y28" i="26"/>
  <c r="Z28" i="26"/>
  <c r="AC28" i="26"/>
  <c r="AD28" i="26"/>
  <c r="AH28" i="26"/>
  <c r="AI28" i="26"/>
  <c r="AJ28" i="26"/>
  <c r="AK28" i="26"/>
  <c r="AO28" i="26"/>
  <c r="AS28" i="26"/>
  <c r="AX28" i="26"/>
  <c r="AY28" i="26"/>
  <c r="AZ28" i="26"/>
  <c r="BA28" i="26"/>
  <c r="BE28" i="26"/>
  <c r="BI28" i="26"/>
  <c r="BN28" i="26"/>
  <c r="BO28" i="26"/>
  <c r="BP28" i="26"/>
  <c r="BV28" i="26"/>
  <c r="BZ28" i="26"/>
  <c r="CD28" i="26"/>
  <c r="CE28" i="26"/>
  <c r="CF28" i="26"/>
  <c r="CH28" i="26"/>
  <c r="CL28" i="26"/>
  <c r="CP28" i="26"/>
  <c r="R29" i="26"/>
  <c r="S29" i="26"/>
  <c r="T29" i="26"/>
  <c r="U29" i="26"/>
  <c r="V29" i="26"/>
  <c r="Y29" i="26"/>
  <c r="Z29" i="26"/>
  <c r="AC29" i="26"/>
  <c r="AD29" i="26"/>
  <c r="AH29" i="26"/>
  <c r="AI29" i="26"/>
  <c r="AJ29" i="26"/>
  <c r="AK29" i="26"/>
  <c r="AO29" i="26"/>
  <c r="AS29" i="26"/>
  <c r="AX29" i="26"/>
  <c r="AY29" i="26"/>
  <c r="AZ29" i="26"/>
  <c r="BA29" i="26"/>
  <c r="BE29" i="26"/>
  <c r="BI29" i="26"/>
  <c r="BN29" i="26"/>
  <c r="BO29" i="26"/>
  <c r="BP29" i="26"/>
  <c r="BV29" i="26"/>
  <c r="BZ29" i="26"/>
  <c r="CD29" i="26"/>
  <c r="CE29" i="26"/>
  <c r="CF29" i="26"/>
  <c r="CH29" i="26"/>
  <c r="CL29" i="26"/>
  <c r="CP29" i="26"/>
  <c r="R30" i="26"/>
  <c r="S30" i="26"/>
  <c r="T30" i="26"/>
  <c r="U30" i="26"/>
  <c r="V30" i="26"/>
  <c r="Y30" i="26"/>
  <c r="Z30" i="26"/>
  <c r="AC30" i="26"/>
  <c r="AD30" i="26"/>
  <c r="AH30" i="26"/>
  <c r="AI30" i="26"/>
  <c r="AJ30" i="26"/>
  <c r="AK30" i="26"/>
  <c r="AO30" i="26"/>
  <c r="AS30" i="26"/>
  <c r="AX30" i="26"/>
  <c r="AY30" i="26"/>
  <c r="AZ30" i="26"/>
  <c r="BA30" i="26"/>
  <c r="BE30" i="26"/>
  <c r="BI30" i="26"/>
  <c r="BN30" i="26"/>
  <c r="BO30" i="26"/>
  <c r="BP30" i="26"/>
  <c r="BV30" i="26"/>
  <c r="BZ30" i="26"/>
  <c r="CD30" i="26"/>
  <c r="CE30" i="26"/>
  <c r="CF30" i="26"/>
  <c r="CH30" i="26"/>
  <c r="CL30" i="26"/>
  <c r="CP30" i="26"/>
  <c r="CP13" i="26"/>
  <c r="CL13" i="26"/>
  <c r="CH13" i="26"/>
  <c r="BZ13" i="26"/>
  <c r="BV13" i="26"/>
  <c r="AD13" i="26"/>
  <c r="Z13" i="26"/>
  <c r="V13" i="26"/>
  <c r="AC13" i="26"/>
  <c r="B20" i="26"/>
  <c r="C20" i="26"/>
  <c r="D20" i="26"/>
  <c r="E20" i="26"/>
  <c r="B21" i="26"/>
  <c r="C21" i="26"/>
  <c r="D21" i="26"/>
  <c r="E21" i="26"/>
  <c r="B22" i="26"/>
  <c r="C22" i="26"/>
  <c r="D22" i="26"/>
  <c r="E22" i="26"/>
  <c r="B23" i="26"/>
  <c r="C23" i="26"/>
  <c r="D23" i="26"/>
  <c r="E23" i="26"/>
  <c r="B24" i="26"/>
  <c r="C24" i="26"/>
  <c r="D24" i="26"/>
  <c r="E24" i="26"/>
  <c r="B25" i="26"/>
  <c r="C25" i="26"/>
  <c r="D25" i="26"/>
  <c r="E25" i="26"/>
  <c r="B26" i="26"/>
  <c r="C26" i="26"/>
  <c r="D26" i="26"/>
  <c r="E26" i="26"/>
  <c r="B27" i="26"/>
  <c r="C27" i="26"/>
  <c r="D27" i="26"/>
  <c r="E27" i="26"/>
  <c r="BI13" i="26"/>
  <c r="BE13" i="26"/>
  <c r="BA13" i="26"/>
  <c r="AS13" i="26"/>
  <c r="AO13" i="26"/>
  <c r="AK13" i="26"/>
  <c r="Y13" i="26"/>
  <c r="U13" i="26"/>
  <c r="E25" i="27"/>
  <c r="D25" i="27"/>
  <c r="C25" i="27"/>
  <c r="E21" i="27"/>
  <c r="D21" i="27"/>
  <c r="C21" i="27"/>
  <c r="E16" i="27"/>
  <c r="D16" i="27"/>
  <c r="C16" i="27"/>
  <c r="E15" i="27"/>
  <c r="D15" i="27"/>
  <c r="C15" i="27"/>
  <c r="E18" i="27"/>
  <c r="D18" i="27"/>
  <c r="C18" i="27"/>
  <c r="E22" i="27"/>
  <c r="D22" i="27"/>
  <c r="C22" i="27"/>
  <c r="E28" i="27"/>
  <c r="D28" i="27"/>
  <c r="C28" i="27"/>
  <c r="E14" i="27"/>
  <c r="D14" i="27"/>
  <c r="C14" i="27"/>
  <c r="E27" i="27"/>
  <c r="D27" i="27"/>
  <c r="C27" i="27"/>
  <c r="E30" i="27"/>
  <c r="D30" i="27"/>
  <c r="C30" i="27"/>
  <c r="E26" i="27"/>
  <c r="D26" i="27"/>
  <c r="C26" i="27"/>
  <c r="E20" i="27"/>
  <c r="D20" i="27"/>
  <c r="C20" i="27"/>
  <c r="E13" i="27"/>
  <c r="D13" i="27"/>
  <c r="C13" i="27"/>
  <c r="E29" i="27"/>
  <c r="D29" i="27"/>
  <c r="C29" i="27"/>
  <c r="E23" i="27"/>
  <c r="D23" i="27"/>
  <c r="C23" i="27"/>
  <c r="H10" i="27"/>
  <c r="A10" i="27"/>
  <c r="A6" i="27"/>
  <c r="A5" i="27"/>
  <c r="A4" i="27"/>
  <c r="A3" i="27"/>
  <c r="A2" i="27"/>
  <c r="A1" i="27"/>
  <c r="E30" i="26"/>
  <c r="D30" i="26"/>
  <c r="C30" i="26"/>
  <c r="B30" i="26"/>
  <c r="E29" i="26"/>
  <c r="D29" i="26"/>
  <c r="C29" i="26"/>
  <c r="B29" i="26"/>
  <c r="E28" i="26"/>
  <c r="D28" i="26"/>
  <c r="C28" i="26"/>
  <c r="B28" i="26"/>
  <c r="E19" i="26"/>
  <c r="D19" i="26"/>
  <c r="C19" i="26"/>
  <c r="B19" i="26"/>
  <c r="E18" i="26"/>
  <c r="D18" i="26"/>
  <c r="C18" i="26"/>
  <c r="B18" i="26"/>
  <c r="E17" i="26"/>
  <c r="D17" i="26"/>
  <c r="C17" i="26"/>
  <c r="B17" i="26"/>
  <c r="E16" i="26"/>
  <c r="D16" i="26"/>
  <c r="C16" i="26"/>
  <c r="B16" i="26"/>
  <c r="E15" i="26"/>
  <c r="D15" i="26"/>
  <c r="C15" i="26"/>
  <c r="B15" i="26"/>
  <c r="E14" i="26"/>
  <c r="D14" i="26"/>
  <c r="C14" i="26"/>
  <c r="B14" i="26"/>
  <c r="CF13" i="26"/>
  <c r="CE13" i="26"/>
  <c r="CD13" i="26"/>
  <c r="BP13" i="26"/>
  <c r="BO13" i="26"/>
  <c r="BN13" i="26"/>
  <c r="AZ13" i="26"/>
  <c r="AY13" i="26"/>
  <c r="AX13" i="26"/>
  <c r="AJ13" i="26"/>
  <c r="AI13" i="26"/>
  <c r="AH13" i="26"/>
  <c r="T13" i="26"/>
  <c r="S13" i="26"/>
  <c r="R13" i="26"/>
  <c r="E13" i="26"/>
  <c r="D13" i="26"/>
  <c r="C13" i="26"/>
  <c r="B13" i="26"/>
  <c r="CP11" i="26"/>
  <c r="CL11" i="26"/>
  <c r="CH11" i="26"/>
  <c r="BZ11" i="26"/>
  <c r="BV11" i="26"/>
  <c r="BR11" i="26"/>
  <c r="BJ11" i="26"/>
  <c r="BF11" i="26"/>
  <c r="BB11" i="26"/>
  <c r="AT11" i="26"/>
  <c r="AP11" i="26"/>
  <c r="AL11" i="26"/>
  <c r="AD11" i="26"/>
  <c r="Z11" i="26"/>
  <c r="V11" i="26"/>
  <c r="F11" i="26"/>
  <c r="CC8" i="26"/>
  <c r="BM8" i="26"/>
  <c r="AW8" i="26"/>
  <c r="AG8" i="26"/>
  <c r="Q8" i="26"/>
  <c r="A8" i="26"/>
  <c r="CC7" i="26"/>
  <c r="BM7" i="26"/>
  <c r="AW7" i="26"/>
  <c r="AG7" i="26"/>
  <c r="Q7" i="26"/>
  <c r="A7" i="26"/>
  <c r="CC6" i="26"/>
  <c r="BM6" i="26"/>
  <c r="AW6" i="26"/>
  <c r="AG6" i="26"/>
  <c r="Q6" i="26"/>
  <c r="A6" i="26"/>
  <c r="CC5" i="26"/>
  <c r="BM5" i="26"/>
  <c r="AW5" i="26"/>
  <c r="AG5" i="26"/>
  <c r="Q5" i="26"/>
  <c r="A5" i="26"/>
  <c r="CC4" i="26"/>
  <c r="BM4" i="26"/>
  <c r="AW4" i="26"/>
  <c r="AG4" i="26"/>
  <c r="Q4" i="26"/>
  <c r="A4" i="26"/>
  <c r="CC3" i="26"/>
  <c r="BM3" i="26"/>
  <c r="AW3" i="26"/>
  <c r="AG3" i="26"/>
  <c r="Q3" i="26"/>
  <c r="A3" i="26"/>
  <c r="CC2" i="26"/>
  <c r="BM2" i="26"/>
  <c r="AW2" i="26"/>
  <c r="AG2" i="26"/>
  <c r="Q2" i="26"/>
  <c r="A2" i="26"/>
  <c r="CC1" i="26"/>
  <c r="BM1" i="26"/>
  <c r="AW1" i="26"/>
  <c r="AG1" i="26"/>
  <c r="Q1" i="26"/>
  <c r="A1" i="26"/>
  <c r="B14" i="24"/>
  <c r="C14" i="24"/>
  <c r="D14" i="24"/>
  <c r="E14" i="24"/>
  <c r="R14" i="24"/>
  <c r="S14" i="24"/>
  <c r="T14" i="24"/>
  <c r="AC14" i="24"/>
  <c r="AD14" i="24"/>
  <c r="AG14" i="24"/>
  <c r="AH14" i="24"/>
  <c r="AK14" i="24"/>
  <c r="AL14" i="24"/>
  <c r="AP14" i="24"/>
  <c r="AQ14" i="24"/>
  <c r="AR14" i="24"/>
  <c r="AS14" i="24"/>
  <c r="AT14" i="24"/>
  <c r="AW14" i="24"/>
  <c r="AX14" i="24"/>
  <c r="BA14" i="24"/>
  <c r="BB14" i="24"/>
  <c r="BF14" i="24"/>
  <c r="BG14" i="24"/>
  <c r="BH14" i="24"/>
  <c r="BI14" i="24"/>
  <c r="BJ14" i="24"/>
  <c r="BM14" i="24"/>
  <c r="BN14" i="24"/>
  <c r="BQ14" i="24"/>
  <c r="BR14" i="24"/>
  <c r="BV14" i="24"/>
  <c r="BW14" i="24"/>
  <c r="BX14" i="24"/>
  <c r="BY14" i="24"/>
  <c r="BZ14" i="24"/>
  <c r="CC14" i="24"/>
  <c r="CD14" i="24"/>
  <c r="CG14" i="24"/>
  <c r="CH14" i="24"/>
  <c r="CL14" i="24"/>
  <c r="CM14" i="24"/>
  <c r="CN14" i="24"/>
  <c r="CO14" i="24"/>
  <c r="CP14" i="24"/>
  <c r="CS14" i="24"/>
  <c r="CT14" i="24"/>
  <c r="CW14" i="24"/>
  <c r="CX14" i="24"/>
  <c r="B15" i="24"/>
  <c r="C15" i="24"/>
  <c r="D15" i="24"/>
  <c r="E15" i="24"/>
  <c r="R15" i="24"/>
  <c r="S15" i="24"/>
  <c r="T15" i="24"/>
  <c r="AC15" i="24"/>
  <c r="AD15" i="24"/>
  <c r="AG15" i="24"/>
  <c r="AH15" i="24"/>
  <c r="AK15" i="24"/>
  <c r="AL15" i="24"/>
  <c r="AP15" i="24"/>
  <c r="AQ15" i="24"/>
  <c r="AR15" i="24"/>
  <c r="AS15" i="24"/>
  <c r="AT15" i="24"/>
  <c r="AW15" i="24"/>
  <c r="AX15" i="24"/>
  <c r="BA15" i="24"/>
  <c r="BB15" i="24"/>
  <c r="BF15" i="24"/>
  <c r="BG15" i="24"/>
  <c r="BH15" i="24"/>
  <c r="BI15" i="24"/>
  <c r="BJ15" i="24"/>
  <c r="BM15" i="24"/>
  <c r="BN15" i="24"/>
  <c r="BQ15" i="24"/>
  <c r="BR15" i="24"/>
  <c r="BV15" i="24"/>
  <c r="BW15" i="24"/>
  <c r="BX15" i="24"/>
  <c r="BY15" i="24"/>
  <c r="BZ15" i="24"/>
  <c r="CC15" i="24"/>
  <c r="CD15" i="24"/>
  <c r="CG15" i="24"/>
  <c r="CH15" i="24"/>
  <c r="CL15" i="24"/>
  <c r="CM15" i="24"/>
  <c r="CN15" i="24"/>
  <c r="CO15" i="24"/>
  <c r="CP15" i="24"/>
  <c r="CS15" i="24"/>
  <c r="CT15" i="24"/>
  <c r="CW15" i="24"/>
  <c r="CX15" i="24"/>
  <c r="B16" i="24"/>
  <c r="C16" i="24"/>
  <c r="D16" i="24"/>
  <c r="E16" i="24"/>
  <c r="R16" i="24"/>
  <c r="S16" i="24"/>
  <c r="T16" i="24"/>
  <c r="AC16" i="24"/>
  <c r="AD16" i="24"/>
  <c r="AG16" i="24"/>
  <c r="AH16" i="24"/>
  <c r="AK16" i="24"/>
  <c r="AL16" i="24"/>
  <c r="AP16" i="24"/>
  <c r="AQ16" i="24"/>
  <c r="AR16" i="24"/>
  <c r="AS16" i="24"/>
  <c r="AT16" i="24"/>
  <c r="AW16" i="24"/>
  <c r="AX16" i="24"/>
  <c r="BA16" i="24"/>
  <c r="BB16" i="24"/>
  <c r="BF16" i="24"/>
  <c r="BG16" i="24"/>
  <c r="BH16" i="24"/>
  <c r="BI16" i="24"/>
  <c r="BJ16" i="24"/>
  <c r="BM16" i="24"/>
  <c r="BN16" i="24"/>
  <c r="BQ16" i="24"/>
  <c r="BR16" i="24"/>
  <c r="BV16" i="24"/>
  <c r="BW16" i="24"/>
  <c r="BX16" i="24"/>
  <c r="BY16" i="24"/>
  <c r="BZ16" i="24"/>
  <c r="CC16" i="24"/>
  <c r="CD16" i="24"/>
  <c r="CG16" i="24"/>
  <c r="CH16" i="24"/>
  <c r="CL16" i="24"/>
  <c r="CM16" i="24"/>
  <c r="CN16" i="24"/>
  <c r="CO16" i="24"/>
  <c r="CP16" i="24"/>
  <c r="CS16" i="24"/>
  <c r="CT16" i="24"/>
  <c r="CW16" i="24"/>
  <c r="CX16" i="24"/>
  <c r="B17" i="24"/>
  <c r="C17" i="24"/>
  <c r="D17" i="24"/>
  <c r="E17" i="24"/>
  <c r="R17" i="24"/>
  <c r="S17" i="24"/>
  <c r="T17" i="24"/>
  <c r="AC17" i="24"/>
  <c r="AD17" i="24"/>
  <c r="AG17" i="24"/>
  <c r="AH17" i="24"/>
  <c r="AK17" i="24"/>
  <c r="AL17" i="24"/>
  <c r="AP17" i="24"/>
  <c r="AQ17" i="24"/>
  <c r="AR17" i="24"/>
  <c r="AS17" i="24"/>
  <c r="AT17" i="24"/>
  <c r="AW17" i="24"/>
  <c r="AX17" i="24"/>
  <c r="BA17" i="24"/>
  <c r="BB17" i="24"/>
  <c r="BF17" i="24"/>
  <c r="BG17" i="24"/>
  <c r="BH17" i="24"/>
  <c r="BI17" i="24"/>
  <c r="BJ17" i="24"/>
  <c r="BM17" i="24"/>
  <c r="BN17" i="24"/>
  <c r="BQ17" i="24"/>
  <c r="BR17" i="24"/>
  <c r="BV17" i="24"/>
  <c r="BW17" i="24"/>
  <c r="BX17" i="24"/>
  <c r="BY17" i="24"/>
  <c r="BZ17" i="24"/>
  <c r="CC17" i="24"/>
  <c r="CD17" i="24"/>
  <c r="CG17" i="24"/>
  <c r="CH17" i="24"/>
  <c r="CL17" i="24"/>
  <c r="CM17" i="24"/>
  <c r="CN17" i="24"/>
  <c r="CO17" i="24"/>
  <c r="CP17" i="24"/>
  <c r="CS17" i="24"/>
  <c r="CT17" i="24"/>
  <c r="CW17" i="24"/>
  <c r="CX17" i="24"/>
  <c r="B18" i="24"/>
  <c r="C18" i="24"/>
  <c r="D18" i="24"/>
  <c r="E18" i="24"/>
  <c r="R18" i="24"/>
  <c r="S18" i="24"/>
  <c r="T18" i="24"/>
  <c r="AC18" i="24"/>
  <c r="AD18" i="24"/>
  <c r="AG18" i="24"/>
  <c r="AH18" i="24"/>
  <c r="AK18" i="24"/>
  <c r="AL18" i="24"/>
  <c r="AP18" i="24"/>
  <c r="AQ18" i="24"/>
  <c r="AR18" i="24"/>
  <c r="AS18" i="24"/>
  <c r="AT18" i="24"/>
  <c r="AW18" i="24"/>
  <c r="AX18" i="24"/>
  <c r="BA18" i="24"/>
  <c r="BB18" i="24"/>
  <c r="BF18" i="24"/>
  <c r="BG18" i="24"/>
  <c r="BH18" i="24"/>
  <c r="BI18" i="24"/>
  <c r="BJ18" i="24"/>
  <c r="BM18" i="24"/>
  <c r="BN18" i="24"/>
  <c r="BQ18" i="24"/>
  <c r="BR18" i="24"/>
  <c r="BV18" i="24"/>
  <c r="BW18" i="24"/>
  <c r="BX18" i="24"/>
  <c r="BY18" i="24"/>
  <c r="BZ18" i="24"/>
  <c r="CC18" i="24"/>
  <c r="CD18" i="24"/>
  <c r="CG18" i="24"/>
  <c r="CH18" i="24"/>
  <c r="CL18" i="24"/>
  <c r="CM18" i="24"/>
  <c r="CN18" i="24"/>
  <c r="CO18" i="24"/>
  <c r="CP18" i="24"/>
  <c r="CS18" i="24"/>
  <c r="CT18" i="24"/>
  <c r="CW18" i="24"/>
  <c r="CX18" i="24"/>
  <c r="B19" i="24"/>
  <c r="C19" i="24"/>
  <c r="D19" i="24"/>
  <c r="E19" i="24"/>
  <c r="R19" i="24"/>
  <c r="S19" i="24"/>
  <c r="T19" i="24"/>
  <c r="AC19" i="24"/>
  <c r="AD19" i="24"/>
  <c r="AG19" i="24"/>
  <c r="AH19" i="24"/>
  <c r="AK19" i="24"/>
  <c r="AL19" i="24"/>
  <c r="AP19" i="24"/>
  <c r="AQ19" i="24"/>
  <c r="AR19" i="24"/>
  <c r="AS19" i="24"/>
  <c r="AT19" i="24"/>
  <c r="AW19" i="24"/>
  <c r="AX19" i="24"/>
  <c r="BA19" i="24"/>
  <c r="BB19" i="24"/>
  <c r="BF19" i="24"/>
  <c r="BG19" i="24"/>
  <c r="BH19" i="24"/>
  <c r="BI19" i="24"/>
  <c r="BJ19" i="24"/>
  <c r="BM19" i="24"/>
  <c r="BN19" i="24"/>
  <c r="BQ19" i="24"/>
  <c r="BR19" i="24"/>
  <c r="BV19" i="24"/>
  <c r="BW19" i="24"/>
  <c r="BX19" i="24"/>
  <c r="BY19" i="24"/>
  <c r="BZ19" i="24"/>
  <c r="CC19" i="24"/>
  <c r="CD19" i="24"/>
  <c r="CG19" i="24"/>
  <c r="CH19" i="24"/>
  <c r="CL19" i="24"/>
  <c r="CM19" i="24"/>
  <c r="CN19" i="24"/>
  <c r="CO19" i="24"/>
  <c r="CP19" i="24"/>
  <c r="CS19" i="24"/>
  <c r="CT19" i="24"/>
  <c r="CW19" i="24"/>
  <c r="CX19" i="24"/>
  <c r="B20" i="24"/>
  <c r="C20" i="24"/>
  <c r="D20" i="24"/>
  <c r="E20" i="24"/>
  <c r="R20" i="24"/>
  <c r="S20" i="24"/>
  <c r="T20" i="24"/>
  <c r="AC20" i="24"/>
  <c r="AD20" i="24"/>
  <c r="AG20" i="24"/>
  <c r="AH20" i="24"/>
  <c r="AK20" i="24"/>
  <c r="AL20" i="24"/>
  <c r="AP20" i="24"/>
  <c r="AQ20" i="24"/>
  <c r="AR20" i="24"/>
  <c r="AS20" i="24"/>
  <c r="AT20" i="24"/>
  <c r="AW20" i="24"/>
  <c r="AX20" i="24"/>
  <c r="BA20" i="24"/>
  <c r="BB20" i="24"/>
  <c r="BF20" i="24"/>
  <c r="BG20" i="24"/>
  <c r="BH20" i="24"/>
  <c r="BI20" i="24"/>
  <c r="BJ20" i="24"/>
  <c r="BM20" i="24"/>
  <c r="BN20" i="24"/>
  <c r="BQ20" i="24"/>
  <c r="BR20" i="24"/>
  <c r="BV20" i="24"/>
  <c r="BW20" i="24"/>
  <c r="BX20" i="24"/>
  <c r="BY20" i="24"/>
  <c r="BZ20" i="24"/>
  <c r="CC20" i="24"/>
  <c r="CD20" i="24"/>
  <c r="CG20" i="24"/>
  <c r="CH20" i="24"/>
  <c r="CL20" i="24"/>
  <c r="CM20" i="24"/>
  <c r="CN20" i="24"/>
  <c r="CO20" i="24"/>
  <c r="CP20" i="24"/>
  <c r="CS20" i="24"/>
  <c r="CT20" i="24"/>
  <c r="CW20" i="24"/>
  <c r="CX20" i="24"/>
  <c r="B21" i="24"/>
  <c r="C21" i="24"/>
  <c r="D21" i="24"/>
  <c r="E21" i="24"/>
  <c r="R21" i="24"/>
  <c r="S21" i="24"/>
  <c r="T21" i="24"/>
  <c r="AC21" i="24"/>
  <c r="AD21" i="24"/>
  <c r="AG21" i="24"/>
  <c r="AH21" i="24"/>
  <c r="AK21" i="24"/>
  <c r="AL21" i="24"/>
  <c r="AP21" i="24"/>
  <c r="AQ21" i="24"/>
  <c r="AR21" i="24"/>
  <c r="AS21" i="24"/>
  <c r="AT21" i="24"/>
  <c r="AW21" i="24"/>
  <c r="AX21" i="24"/>
  <c r="BA21" i="24"/>
  <c r="BB21" i="24"/>
  <c r="BF21" i="24"/>
  <c r="BG21" i="24"/>
  <c r="BH21" i="24"/>
  <c r="BI21" i="24"/>
  <c r="BJ21" i="24"/>
  <c r="BM21" i="24"/>
  <c r="BN21" i="24"/>
  <c r="BQ21" i="24"/>
  <c r="BR21" i="24"/>
  <c r="BV21" i="24"/>
  <c r="BW21" i="24"/>
  <c r="BX21" i="24"/>
  <c r="BY21" i="24"/>
  <c r="BZ21" i="24"/>
  <c r="CC21" i="24"/>
  <c r="CD21" i="24"/>
  <c r="CG21" i="24"/>
  <c r="CH21" i="24"/>
  <c r="CL21" i="24"/>
  <c r="CM21" i="24"/>
  <c r="CN21" i="24"/>
  <c r="CO21" i="24"/>
  <c r="CP21" i="24"/>
  <c r="CS21" i="24"/>
  <c r="CT21" i="24"/>
  <c r="CW21" i="24"/>
  <c r="CX21" i="24"/>
  <c r="B22" i="24"/>
  <c r="C22" i="24"/>
  <c r="D22" i="24"/>
  <c r="E22" i="24"/>
  <c r="R22" i="24"/>
  <c r="S22" i="24"/>
  <c r="T22" i="24"/>
  <c r="AC22" i="24"/>
  <c r="AD22" i="24"/>
  <c r="AG22" i="24"/>
  <c r="AH22" i="24"/>
  <c r="AK22" i="24"/>
  <c r="AL22" i="24"/>
  <c r="AP22" i="24"/>
  <c r="AQ22" i="24"/>
  <c r="AR22" i="24"/>
  <c r="AS22" i="24"/>
  <c r="AT22" i="24"/>
  <c r="AW22" i="24"/>
  <c r="AX22" i="24"/>
  <c r="BA22" i="24"/>
  <c r="BB22" i="24"/>
  <c r="BF22" i="24"/>
  <c r="BG22" i="24"/>
  <c r="BH22" i="24"/>
  <c r="BI22" i="24"/>
  <c r="BJ22" i="24"/>
  <c r="BM22" i="24"/>
  <c r="BN22" i="24"/>
  <c r="BQ22" i="24"/>
  <c r="BR22" i="24"/>
  <c r="BV22" i="24"/>
  <c r="BW22" i="24"/>
  <c r="BX22" i="24"/>
  <c r="BY22" i="24"/>
  <c r="BZ22" i="24"/>
  <c r="CC22" i="24"/>
  <c r="CD22" i="24"/>
  <c r="CG22" i="24"/>
  <c r="CH22" i="24"/>
  <c r="CL22" i="24"/>
  <c r="CM22" i="24"/>
  <c r="CN22" i="24"/>
  <c r="CO22" i="24"/>
  <c r="CP22" i="24"/>
  <c r="CS22" i="24"/>
  <c r="CT22" i="24"/>
  <c r="CW22" i="24"/>
  <c r="CX22" i="24"/>
  <c r="B23" i="24"/>
  <c r="C23" i="24"/>
  <c r="D23" i="24"/>
  <c r="E23" i="24"/>
  <c r="R23" i="24"/>
  <c r="S23" i="24"/>
  <c r="T23" i="24"/>
  <c r="AC23" i="24"/>
  <c r="AD23" i="24"/>
  <c r="AG23" i="24"/>
  <c r="AH23" i="24"/>
  <c r="AK23" i="24"/>
  <c r="AL23" i="24"/>
  <c r="AP23" i="24"/>
  <c r="AQ23" i="24"/>
  <c r="AR23" i="24"/>
  <c r="AS23" i="24"/>
  <c r="AT23" i="24"/>
  <c r="AW23" i="24"/>
  <c r="AX23" i="24"/>
  <c r="BA23" i="24"/>
  <c r="BB23" i="24"/>
  <c r="BF23" i="24"/>
  <c r="BG23" i="24"/>
  <c r="BH23" i="24"/>
  <c r="BI23" i="24"/>
  <c r="BJ23" i="24"/>
  <c r="BM23" i="24"/>
  <c r="BN23" i="24"/>
  <c r="BQ23" i="24"/>
  <c r="BR23" i="24"/>
  <c r="BV23" i="24"/>
  <c r="BW23" i="24"/>
  <c r="BX23" i="24"/>
  <c r="BY23" i="24"/>
  <c r="BZ23" i="24"/>
  <c r="CC23" i="24"/>
  <c r="CD23" i="24"/>
  <c r="CG23" i="24"/>
  <c r="CH23" i="24"/>
  <c r="CL23" i="24"/>
  <c r="CM23" i="24"/>
  <c r="CN23" i="24"/>
  <c r="CO23" i="24"/>
  <c r="CP23" i="24"/>
  <c r="CS23" i="24"/>
  <c r="CT23" i="24"/>
  <c r="CW23" i="24"/>
  <c r="CX23" i="24"/>
  <c r="B24" i="24"/>
  <c r="C24" i="24"/>
  <c r="D24" i="24"/>
  <c r="E24" i="24"/>
  <c r="R24" i="24"/>
  <c r="S24" i="24"/>
  <c r="T24" i="24"/>
  <c r="AC24" i="24"/>
  <c r="AD24" i="24"/>
  <c r="AG24" i="24"/>
  <c r="AH24" i="24"/>
  <c r="AK24" i="24"/>
  <c r="AL24" i="24"/>
  <c r="AP24" i="24"/>
  <c r="AQ24" i="24"/>
  <c r="AR24" i="24"/>
  <c r="AS24" i="24"/>
  <c r="AT24" i="24"/>
  <c r="AW24" i="24"/>
  <c r="AX24" i="24"/>
  <c r="BA24" i="24"/>
  <c r="BB24" i="24"/>
  <c r="BF24" i="24"/>
  <c r="BG24" i="24"/>
  <c r="BH24" i="24"/>
  <c r="BI24" i="24"/>
  <c r="BJ24" i="24"/>
  <c r="BM24" i="24"/>
  <c r="BN24" i="24"/>
  <c r="BQ24" i="24"/>
  <c r="BR24" i="24"/>
  <c r="BV24" i="24"/>
  <c r="BW24" i="24"/>
  <c r="BX24" i="24"/>
  <c r="BY24" i="24"/>
  <c r="BZ24" i="24"/>
  <c r="CC24" i="24"/>
  <c r="CD24" i="24"/>
  <c r="CG24" i="24"/>
  <c r="CH24" i="24"/>
  <c r="CL24" i="24"/>
  <c r="CM24" i="24"/>
  <c r="CN24" i="24"/>
  <c r="CO24" i="24"/>
  <c r="CP24" i="24"/>
  <c r="CS24" i="24"/>
  <c r="CT24" i="24"/>
  <c r="CW24" i="24"/>
  <c r="CX24" i="24"/>
  <c r="B25" i="24"/>
  <c r="C25" i="24"/>
  <c r="D25" i="24"/>
  <c r="E25" i="24"/>
  <c r="R25" i="24"/>
  <c r="S25" i="24"/>
  <c r="T25" i="24"/>
  <c r="AC25" i="24"/>
  <c r="AD25" i="24"/>
  <c r="AG25" i="24"/>
  <c r="AH25" i="24"/>
  <c r="AK25" i="24"/>
  <c r="AL25" i="24"/>
  <c r="AP25" i="24"/>
  <c r="AQ25" i="24"/>
  <c r="AR25" i="24"/>
  <c r="AS25" i="24"/>
  <c r="AT25" i="24"/>
  <c r="AW25" i="24"/>
  <c r="AX25" i="24"/>
  <c r="BA25" i="24"/>
  <c r="BB25" i="24"/>
  <c r="BF25" i="24"/>
  <c r="BG25" i="24"/>
  <c r="BH25" i="24"/>
  <c r="BI25" i="24"/>
  <c r="BJ25" i="24"/>
  <c r="BM25" i="24"/>
  <c r="BN25" i="24"/>
  <c r="BQ25" i="24"/>
  <c r="BR25" i="24"/>
  <c r="BV25" i="24"/>
  <c r="BW25" i="24"/>
  <c r="BX25" i="24"/>
  <c r="BY25" i="24"/>
  <c r="BZ25" i="24"/>
  <c r="CC25" i="24"/>
  <c r="CD25" i="24"/>
  <c r="CG25" i="24"/>
  <c r="CH25" i="24"/>
  <c r="CL25" i="24"/>
  <c r="CM25" i="24"/>
  <c r="CN25" i="24"/>
  <c r="CO25" i="24"/>
  <c r="CP25" i="24"/>
  <c r="CS25" i="24"/>
  <c r="CT25" i="24"/>
  <c r="CW25" i="24"/>
  <c r="CX25" i="24"/>
  <c r="B26" i="24"/>
  <c r="C26" i="24"/>
  <c r="D26" i="24"/>
  <c r="E26" i="24"/>
  <c r="R26" i="24"/>
  <c r="S26" i="24"/>
  <c r="T26" i="24"/>
  <c r="AC26" i="24"/>
  <c r="AD26" i="24"/>
  <c r="AG26" i="24"/>
  <c r="AH26" i="24"/>
  <c r="AK26" i="24"/>
  <c r="AL26" i="24"/>
  <c r="AP26" i="24"/>
  <c r="AQ26" i="24"/>
  <c r="AR26" i="24"/>
  <c r="AS26" i="24"/>
  <c r="AT26" i="24"/>
  <c r="AW26" i="24"/>
  <c r="AX26" i="24"/>
  <c r="BA26" i="24"/>
  <c r="BB26" i="24"/>
  <c r="BF26" i="24"/>
  <c r="BG26" i="24"/>
  <c r="BH26" i="24"/>
  <c r="BI26" i="24"/>
  <c r="BJ26" i="24"/>
  <c r="BM26" i="24"/>
  <c r="BN26" i="24"/>
  <c r="BQ26" i="24"/>
  <c r="BR26" i="24"/>
  <c r="BV26" i="24"/>
  <c r="BW26" i="24"/>
  <c r="BX26" i="24"/>
  <c r="BY26" i="24"/>
  <c r="BZ26" i="24"/>
  <c r="CC26" i="24"/>
  <c r="CD26" i="24"/>
  <c r="CG26" i="24"/>
  <c r="CH26" i="24"/>
  <c r="CL26" i="24"/>
  <c r="CM26" i="24"/>
  <c r="CN26" i="24"/>
  <c r="CO26" i="24"/>
  <c r="CP26" i="24"/>
  <c r="CS26" i="24"/>
  <c r="CT26" i="24"/>
  <c r="CW26" i="24"/>
  <c r="CX26" i="24"/>
  <c r="B27" i="24"/>
  <c r="C27" i="24"/>
  <c r="D27" i="24"/>
  <c r="E27" i="24"/>
  <c r="R27" i="24"/>
  <c r="S27" i="24"/>
  <c r="T27" i="24"/>
  <c r="AC27" i="24"/>
  <c r="AD27" i="24"/>
  <c r="AG27" i="24"/>
  <c r="AH27" i="24"/>
  <c r="AK27" i="24"/>
  <c r="AL27" i="24"/>
  <c r="AP27" i="24"/>
  <c r="AQ27" i="24"/>
  <c r="AR27" i="24"/>
  <c r="AS27" i="24"/>
  <c r="AT27" i="24"/>
  <c r="AW27" i="24"/>
  <c r="AX27" i="24"/>
  <c r="BA27" i="24"/>
  <c r="BB27" i="24"/>
  <c r="BF27" i="24"/>
  <c r="BG27" i="24"/>
  <c r="BH27" i="24"/>
  <c r="BI27" i="24"/>
  <c r="BJ27" i="24"/>
  <c r="BM27" i="24"/>
  <c r="BN27" i="24"/>
  <c r="BQ27" i="24"/>
  <c r="BR27" i="24"/>
  <c r="BV27" i="24"/>
  <c r="BW27" i="24"/>
  <c r="BX27" i="24"/>
  <c r="BY27" i="24"/>
  <c r="BZ27" i="24"/>
  <c r="CC27" i="24"/>
  <c r="CD27" i="24"/>
  <c r="CG27" i="24"/>
  <c r="CH27" i="24"/>
  <c r="CL27" i="24"/>
  <c r="CM27" i="24"/>
  <c r="CN27" i="24"/>
  <c r="CO27" i="24"/>
  <c r="CP27" i="24"/>
  <c r="CS27" i="24"/>
  <c r="CT27" i="24"/>
  <c r="CW27" i="24"/>
  <c r="CX27" i="24"/>
  <c r="B28" i="24"/>
  <c r="C28" i="24"/>
  <c r="D28" i="24"/>
  <c r="E28" i="24"/>
  <c r="R28" i="24"/>
  <c r="S28" i="24"/>
  <c r="T28" i="24"/>
  <c r="AC28" i="24"/>
  <c r="AD28" i="24"/>
  <c r="AG28" i="24"/>
  <c r="AH28" i="24"/>
  <c r="AK28" i="24"/>
  <c r="AL28" i="24"/>
  <c r="AP28" i="24"/>
  <c r="AQ28" i="24"/>
  <c r="AR28" i="24"/>
  <c r="AS28" i="24"/>
  <c r="AT28" i="24"/>
  <c r="AW28" i="24"/>
  <c r="AX28" i="24"/>
  <c r="BA28" i="24"/>
  <c r="BB28" i="24"/>
  <c r="BF28" i="24"/>
  <c r="BG28" i="24"/>
  <c r="BH28" i="24"/>
  <c r="BI28" i="24"/>
  <c r="BJ28" i="24"/>
  <c r="BM28" i="24"/>
  <c r="BN28" i="24"/>
  <c r="BQ28" i="24"/>
  <c r="BR28" i="24"/>
  <c r="BV28" i="24"/>
  <c r="BW28" i="24"/>
  <c r="BX28" i="24"/>
  <c r="BY28" i="24"/>
  <c r="BZ28" i="24"/>
  <c r="CC28" i="24"/>
  <c r="CD28" i="24"/>
  <c r="CG28" i="24"/>
  <c r="CH28" i="24"/>
  <c r="CL28" i="24"/>
  <c r="CM28" i="24"/>
  <c r="CN28" i="24"/>
  <c r="CO28" i="24"/>
  <c r="CP28" i="24"/>
  <c r="CS28" i="24"/>
  <c r="CT28" i="24"/>
  <c r="CW28" i="24"/>
  <c r="CX28" i="24"/>
  <c r="B29" i="24"/>
  <c r="C29" i="24"/>
  <c r="D29" i="24"/>
  <c r="E29" i="24"/>
  <c r="R29" i="24"/>
  <c r="S29" i="24"/>
  <c r="T29" i="24"/>
  <c r="AC29" i="24"/>
  <c r="AD29" i="24"/>
  <c r="AG29" i="24"/>
  <c r="AH29" i="24"/>
  <c r="AK29" i="24"/>
  <c r="AL29" i="24"/>
  <c r="AP29" i="24"/>
  <c r="AQ29" i="24"/>
  <c r="AR29" i="24"/>
  <c r="AS29" i="24"/>
  <c r="AT29" i="24"/>
  <c r="AW29" i="24"/>
  <c r="AX29" i="24"/>
  <c r="BA29" i="24"/>
  <c r="BB29" i="24"/>
  <c r="BF29" i="24"/>
  <c r="BG29" i="24"/>
  <c r="BH29" i="24"/>
  <c r="BI29" i="24"/>
  <c r="BJ29" i="24"/>
  <c r="BM29" i="24"/>
  <c r="BN29" i="24"/>
  <c r="BQ29" i="24"/>
  <c r="BR29" i="24"/>
  <c r="BV29" i="24"/>
  <c r="BW29" i="24"/>
  <c r="BX29" i="24"/>
  <c r="BY29" i="24"/>
  <c r="BZ29" i="24"/>
  <c r="CC29" i="24"/>
  <c r="CD29" i="24"/>
  <c r="CG29" i="24"/>
  <c r="CH29" i="24"/>
  <c r="CL29" i="24"/>
  <c r="CM29" i="24"/>
  <c r="CN29" i="24"/>
  <c r="CO29" i="24"/>
  <c r="CP29" i="24"/>
  <c r="CS29" i="24"/>
  <c r="CT29" i="24"/>
  <c r="CW29" i="24"/>
  <c r="CX29" i="24"/>
  <c r="B30" i="24"/>
  <c r="C30" i="24"/>
  <c r="D30" i="24"/>
  <c r="E30" i="24"/>
  <c r="R30" i="24"/>
  <c r="S30" i="24"/>
  <c r="T30" i="24"/>
  <c r="AC30" i="24"/>
  <c r="AD30" i="24"/>
  <c r="AG30" i="24"/>
  <c r="AH30" i="24"/>
  <c r="AK30" i="24"/>
  <c r="AL30" i="24"/>
  <c r="AP30" i="24"/>
  <c r="AQ30" i="24"/>
  <c r="AR30" i="24"/>
  <c r="AS30" i="24"/>
  <c r="AT30" i="24"/>
  <c r="AW30" i="24"/>
  <c r="AX30" i="24"/>
  <c r="BA30" i="24"/>
  <c r="BB30" i="24"/>
  <c r="BF30" i="24"/>
  <c r="BG30" i="24"/>
  <c r="BH30" i="24"/>
  <c r="BI30" i="24"/>
  <c r="BJ30" i="24"/>
  <c r="BM30" i="24"/>
  <c r="BN30" i="24"/>
  <c r="BQ30" i="24"/>
  <c r="BR30" i="24"/>
  <c r="BV30" i="24"/>
  <c r="BW30" i="24"/>
  <c r="BX30" i="24"/>
  <c r="BY30" i="24"/>
  <c r="BZ30" i="24"/>
  <c r="CC30" i="24"/>
  <c r="CD30" i="24"/>
  <c r="CG30" i="24"/>
  <c r="CH30" i="24"/>
  <c r="CL30" i="24"/>
  <c r="CM30" i="24"/>
  <c r="CN30" i="24"/>
  <c r="CO30" i="24"/>
  <c r="CP30" i="24"/>
  <c r="CS30" i="24"/>
  <c r="CT30" i="24"/>
  <c r="CW30" i="24"/>
  <c r="CX30" i="24"/>
  <c r="B31" i="24"/>
  <c r="C31" i="24"/>
  <c r="D31" i="24"/>
  <c r="E31" i="24"/>
  <c r="R31" i="24"/>
  <c r="S31" i="24"/>
  <c r="T31" i="24"/>
  <c r="AC31" i="24"/>
  <c r="AD31" i="24"/>
  <c r="AG31" i="24"/>
  <c r="AH31" i="24"/>
  <c r="AK31" i="24"/>
  <c r="AL31" i="24"/>
  <c r="AP31" i="24"/>
  <c r="AQ31" i="24"/>
  <c r="AR31" i="24"/>
  <c r="AS31" i="24"/>
  <c r="AT31" i="24"/>
  <c r="AW31" i="24"/>
  <c r="AX31" i="24"/>
  <c r="BA31" i="24"/>
  <c r="BB31" i="24"/>
  <c r="BF31" i="24"/>
  <c r="BG31" i="24"/>
  <c r="BH31" i="24"/>
  <c r="BI31" i="24"/>
  <c r="BJ31" i="24"/>
  <c r="BM31" i="24"/>
  <c r="BN31" i="24"/>
  <c r="BQ31" i="24"/>
  <c r="BR31" i="24"/>
  <c r="BV31" i="24"/>
  <c r="BW31" i="24"/>
  <c r="BX31" i="24"/>
  <c r="BY31" i="24"/>
  <c r="BZ31" i="24"/>
  <c r="CC31" i="24"/>
  <c r="CD31" i="24"/>
  <c r="CG31" i="24"/>
  <c r="CH31" i="24"/>
  <c r="CL31" i="24"/>
  <c r="CM31" i="24"/>
  <c r="CN31" i="24"/>
  <c r="CO31" i="24"/>
  <c r="CP31" i="24"/>
  <c r="CS31" i="24"/>
  <c r="CT31" i="24"/>
  <c r="CW31" i="24"/>
  <c r="CX31" i="24"/>
  <c r="B33" i="24"/>
  <c r="C33" i="24"/>
  <c r="D33" i="24"/>
  <c r="E33" i="24"/>
  <c r="R33" i="24"/>
  <c r="S33" i="24"/>
  <c r="T33" i="24"/>
  <c r="AC33" i="24"/>
  <c r="AD33" i="24"/>
  <c r="AG33" i="24"/>
  <c r="AH33" i="24"/>
  <c r="AK33" i="24"/>
  <c r="AL33" i="24"/>
  <c r="AP33" i="24"/>
  <c r="AQ33" i="24"/>
  <c r="AR33" i="24"/>
  <c r="AS33" i="24"/>
  <c r="AT33" i="24"/>
  <c r="AW33" i="24"/>
  <c r="AX33" i="24"/>
  <c r="BA33" i="24"/>
  <c r="BB33" i="24"/>
  <c r="BF33" i="24"/>
  <c r="BG33" i="24"/>
  <c r="BH33" i="24"/>
  <c r="BI33" i="24"/>
  <c r="BJ33" i="24"/>
  <c r="BM33" i="24"/>
  <c r="BN33" i="24"/>
  <c r="BQ33" i="24"/>
  <c r="BR33" i="24"/>
  <c r="BV33" i="24"/>
  <c r="BW33" i="24"/>
  <c r="BX33" i="24"/>
  <c r="BY33" i="24"/>
  <c r="BZ33" i="24"/>
  <c r="CC33" i="24"/>
  <c r="CD33" i="24"/>
  <c r="CG33" i="24"/>
  <c r="CH33" i="24"/>
  <c r="CL33" i="24"/>
  <c r="CM33" i="24"/>
  <c r="CN33" i="24"/>
  <c r="CO33" i="24"/>
  <c r="CP33" i="24"/>
  <c r="CS33" i="24"/>
  <c r="CT33" i="24"/>
  <c r="CW33" i="24"/>
  <c r="CX33" i="24"/>
  <c r="E15" i="25"/>
  <c r="D15" i="25"/>
  <c r="C15" i="25"/>
  <c r="E25" i="25"/>
  <c r="D25" i="25"/>
  <c r="C25" i="25"/>
  <c r="E28" i="25"/>
  <c r="D28" i="25"/>
  <c r="C28" i="25"/>
  <c r="E22" i="25"/>
  <c r="D22" i="25"/>
  <c r="C22" i="25"/>
  <c r="E26" i="25"/>
  <c r="D26" i="25"/>
  <c r="C26" i="25"/>
  <c r="E13" i="25"/>
  <c r="D13" i="25"/>
  <c r="C13" i="25"/>
  <c r="E33" i="25"/>
  <c r="D33" i="25"/>
  <c r="C33" i="25"/>
  <c r="E21" i="25"/>
  <c r="D21" i="25"/>
  <c r="C21" i="25"/>
  <c r="E14" i="25"/>
  <c r="D14" i="25"/>
  <c r="C14" i="25"/>
  <c r="E18" i="25"/>
  <c r="D18" i="25"/>
  <c r="C18" i="25"/>
  <c r="E17" i="25"/>
  <c r="D17" i="25"/>
  <c r="C17" i="25"/>
  <c r="E23" i="25"/>
  <c r="D23" i="25"/>
  <c r="C23" i="25"/>
  <c r="E27" i="25"/>
  <c r="D27" i="25"/>
  <c r="C27" i="25"/>
  <c r="E29" i="25"/>
  <c r="D29" i="25"/>
  <c r="C29" i="25"/>
  <c r="E32" i="25"/>
  <c r="D32" i="25"/>
  <c r="C32" i="25"/>
  <c r="H10" i="25"/>
  <c r="A10" i="25"/>
  <c r="A6" i="25"/>
  <c r="A5" i="25"/>
  <c r="A4" i="25"/>
  <c r="A3" i="25"/>
  <c r="A2" i="25"/>
  <c r="A1" i="25"/>
  <c r="CX13" i="24"/>
  <c r="CW13" i="24"/>
  <c r="CT13" i="24"/>
  <c r="CS13" i="24"/>
  <c r="CP13" i="24"/>
  <c r="CO13" i="24"/>
  <c r="CN13" i="24"/>
  <c r="CM13" i="24"/>
  <c r="CL13" i="24"/>
  <c r="CH13" i="24"/>
  <c r="CG13" i="24"/>
  <c r="CD13" i="24"/>
  <c r="CC13" i="24"/>
  <c r="BZ13" i="24"/>
  <c r="BY13" i="24"/>
  <c r="BX13" i="24"/>
  <c r="BW13" i="24"/>
  <c r="BV13" i="24"/>
  <c r="BR13" i="24"/>
  <c r="BQ13" i="24"/>
  <c r="BN13" i="24"/>
  <c r="BM13" i="24"/>
  <c r="BJ13" i="24"/>
  <c r="BI13" i="24"/>
  <c r="BH13" i="24"/>
  <c r="BG13" i="24"/>
  <c r="BF13" i="24"/>
  <c r="BB13" i="24"/>
  <c r="BA13" i="24"/>
  <c r="AX13" i="24"/>
  <c r="AW13" i="24"/>
  <c r="AT13" i="24"/>
  <c r="AS13" i="24"/>
  <c r="AR13" i="24"/>
  <c r="AQ13" i="24"/>
  <c r="AP13" i="24"/>
  <c r="AL13" i="24"/>
  <c r="AK13" i="24"/>
  <c r="AH13" i="24"/>
  <c r="AG13" i="24"/>
  <c r="AD13" i="24"/>
  <c r="AC13" i="24"/>
  <c r="T13" i="24"/>
  <c r="S13" i="24"/>
  <c r="R13" i="24"/>
  <c r="E13" i="24"/>
  <c r="D13" i="24"/>
  <c r="C13" i="24"/>
  <c r="B13" i="24"/>
  <c r="CX11" i="24"/>
  <c r="CT11" i="24"/>
  <c r="CP11" i="24"/>
  <c r="CH11" i="24"/>
  <c r="CD11" i="24"/>
  <c r="BZ11" i="24"/>
  <c r="BR11" i="24"/>
  <c r="BN11" i="24"/>
  <c r="BJ11" i="24"/>
  <c r="BB11" i="24"/>
  <c r="AX11" i="24"/>
  <c r="AT11" i="24"/>
  <c r="AL11" i="24"/>
  <c r="AH11" i="24"/>
  <c r="AD11" i="24"/>
  <c r="F11" i="24"/>
  <c r="CK8" i="24"/>
  <c r="BU8" i="24"/>
  <c r="BE8" i="24"/>
  <c r="AO8" i="24"/>
  <c r="Q8" i="24"/>
  <c r="A8" i="24"/>
  <c r="CK7" i="24"/>
  <c r="BU7" i="24"/>
  <c r="BE7" i="24"/>
  <c r="AO7" i="24"/>
  <c r="Q7" i="24"/>
  <c r="A7" i="24"/>
  <c r="CK6" i="24"/>
  <c r="BU6" i="24"/>
  <c r="BE6" i="24"/>
  <c r="AO6" i="24"/>
  <c r="Q6" i="24"/>
  <c r="A6" i="24"/>
  <c r="CK5" i="24"/>
  <c r="BU5" i="24"/>
  <c r="BE5" i="24"/>
  <c r="AO5" i="24"/>
  <c r="Q5" i="24"/>
  <c r="A5" i="24"/>
  <c r="CK4" i="24"/>
  <c r="BU4" i="24"/>
  <c r="BE4" i="24"/>
  <c r="AO4" i="24"/>
  <c r="Q4" i="24"/>
  <c r="A4" i="24"/>
  <c r="CK3" i="24"/>
  <c r="BU3" i="24"/>
  <c r="BE3" i="24"/>
  <c r="AO3" i="24"/>
  <c r="Q3" i="24"/>
  <c r="A3" i="24"/>
  <c r="CK2" i="24"/>
  <c r="BU2" i="24"/>
  <c r="BE2" i="24"/>
  <c r="AO2" i="24"/>
  <c r="Q2" i="24"/>
  <c r="A2" i="24"/>
  <c r="CK1" i="24"/>
  <c r="BU1" i="24"/>
  <c r="BE1" i="24"/>
  <c r="AO1" i="24"/>
  <c r="Q1" i="24"/>
  <c r="A1" i="24"/>
  <c r="C24" i="23"/>
  <c r="D24" i="23"/>
  <c r="E24" i="23"/>
  <c r="E26" i="23"/>
  <c r="D26" i="23"/>
  <c r="C26" i="23"/>
  <c r="E17" i="23"/>
  <c r="D17" i="23"/>
  <c r="C17" i="23"/>
  <c r="E23" i="23"/>
  <c r="D23" i="23"/>
  <c r="C23" i="23"/>
  <c r="E18" i="23"/>
  <c r="D18" i="23"/>
  <c r="C18" i="23"/>
  <c r="E28" i="23"/>
  <c r="D28" i="23"/>
  <c r="C28" i="23"/>
  <c r="E27" i="23"/>
  <c r="D27" i="23"/>
  <c r="C27" i="23"/>
  <c r="E15" i="23"/>
  <c r="D15" i="23"/>
  <c r="C15" i="23"/>
  <c r="E25" i="23"/>
  <c r="D25" i="23"/>
  <c r="C25" i="23"/>
  <c r="E21" i="23"/>
  <c r="D21" i="23"/>
  <c r="C21" i="23"/>
  <c r="E22" i="23"/>
  <c r="D22" i="23"/>
  <c r="C22" i="23"/>
  <c r="E19" i="23"/>
  <c r="D19" i="23"/>
  <c r="C19" i="23"/>
  <c r="E16" i="23"/>
  <c r="D16" i="23"/>
  <c r="C16" i="23"/>
  <c r="E13" i="23"/>
  <c r="D13" i="23"/>
  <c r="C13" i="23"/>
  <c r="E14" i="23"/>
  <c r="D14" i="23"/>
  <c r="C14" i="23"/>
  <c r="E20" i="23"/>
  <c r="D20" i="23"/>
  <c r="C20" i="23"/>
  <c r="H10" i="23"/>
  <c r="A10" i="23"/>
  <c r="A6" i="23"/>
  <c r="A5" i="23"/>
  <c r="A4" i="23"/>
  <c r="A3" i="23"/>
  <c r="A2" i="23"/>
  <c r="A1" i="23"/>
  <c r="CP28" i="22"/>
  <c r="CO28" i="22"/>
  <c r="CL28" i="22"/>
  <c r="CK28" i="22"/>
  <c r="CH28" i="22"/>
  <c r="CG28" i="22"/>
  <c r="CF28" i="22"/>
  <c r="CE28" i="22"/>
  <c r="CD28" i="22"/>
  <c r="BZ28" i="22"/>
  <c r="BY28" i="22"/>
  <c r="BV28" i="22"/>
  <c r="BU28" i="22"/>
  <c r="BR28" i="22"/>
  <c r="BQ28" i="22"/>
  <c r="BP28" i="22"/>
  <c r="BO28" i="22"/>
  <c r="BN28" i="22"/>
  <c r="BJ28" i="22"/>
  <c r="BI28" i="22"/>
  <c r="BF28" i="22"/>
  <c r="BE28" i="22"/>
  <c r="BB28" i="22"/>
  <c r="BA28" i="22"/>
  <c r="AZ28" i="22"/>
  <c r="AY28" i="22"/>
  <c r="AX28" i="22"/>
  <c r="AT28" i="22"/>
  <c r="AS28" i="22"/>
  <c r="AP28" i="22"/>
  <c r="AO28" i="22"/>
  <c r="AL28" i="22"/>
  <c r="AK28" i="22"/>
  <c r="AJ28" i="22"/>
  <c r="AI28" i="22"/>
  <c r="AH28" i="22"/>
  <c r="AD28" i="22"/>
  <c r="AC28" i="22"/>
  <c r="Z28" i="22"/>
  <c r="Y28" i="22"/>
  <c r="V28" i="22"/>
  <c r="U28" i="22"/>
  <c r="T28" i="22"/>
  <c r="S28" i="22"/>
  <c r="R28" i="22"/>
  <c r="E28" i="22"/>
  <c r="D28" i="22"/>
  <c r="C28" i="22"/>
  <c r="B28" i="22"/>
  <c r="CP27" i="22"/>
  <c r="CO27" i="22"/>
  <c r="CL27" i="22"/>
  <c r="CK27" i="22"/>
  <c r="CH27" i="22"/>
  <c r="CG27" i="22"/>
  <c r="CF27" i="22"/>
  <c r="CE27" i="22"/>
  <c r="CD27" i="22"/>
  <c r="BZ27" i="22"/>
  <c r="BY27" i="22"/>
  <c r="BV27" i="22"/>
  <c r="BU27" i="22"/>
  <c r="BR27" i="22"/>
  <c r="BQ27" i="22"/>
  <c r="BP27" i="22"/>
  <c r="BO27" i="22"/>
  <c r="BN27" i="22"/>
  <c r="BJ27" i="22"/>
  <c r="BI27" i="22"/>
  <c r="BF27" i="22"/>
  <c r="BE27" i="22"/>
  <c r="BB27" i="22"/>
  <c r="BA27" i="22"/>
  <c r="AZ27" i="22"/>
  <c r="AY27" i="22"/>
  <c r="AX27" i="22"/>
  <c r="AT27" i="22"/>
  <c r="AS27" i="22"/>
  <c r="AP27" i="22"/>
  <c r="AO27" i="22"/>
  <c r="AL27" i="22"/>
  <c r="AK27" i="22"/>
  <c r="AJ27" i="22"/>
  <c r="AI27" i="22"/>
  <c r="AH27" i="22"/>
  <c r="AD27" i="22"/>
  <c r="AC27" i="22"/>
  <c r="Z27" i="22"/>
  <c r="Y27" i="22"/>
  <c r="V27" i="22"/>
  <c r="U27" i="22"/>
  <c r="T27" i="22"/>
  <c r="S27" i="22"/>
  <c r="R27" i="22"/>
  <c r="E27" i="22"/>
  <c r="D27" i="22"/>
  <c r="C27" i="22"/>
  <c r="B27" i="22"/>
  <c r="CP26" i="22"/>
  <c r="CO26" i="22"/>
  <c r="CL26" i="22"/>
  <c r="CK26" i="22"/>
  <c r="CH26" i="22"/>
  <c r="CG26" i="22"/>
  <c r="CF26" i="22"/>
  <c r="CE26" i="22"/>
  <c r="CD26" i="22"/>
  <c r="BZ26" i="22"/>
  <c r="BY26" i="22"/>
  <c r="BV26" i="22"/>
  <c r="BU26" i="22"/>
  <c r="BR26" i="22"/>
  <c r="BQ26" i="22"/>
  <c r="BP26" i="22"/>
  <c r="BO26" i="22"/>
  <c r="BN26" i="22"/>
  <c r="BJ26" i="22"/>
  <c r="BI26" i="22"/>
  <c r="BF26" i="22"/>
  <c r="BE26" i="22"/>
  <c r="BB26" i="22"/>
  <c r="BA26" i="22"/>
  <c r="AZ26" i="22"/>
  <c r="AY26" i="22"/>
  <c r="AX26" i="22"/>
  <c r="AT26" i="22"/>
  <c r="AS26" i="22"/>
  <c r="AP26" i="22"/>
  <c r="AO26" i="22"/>
  <c r="AL26" i="22"/>
  <c r="AK26" i="22"/>
  <c r="AJ26" i="22"/>
  <c r="AI26" i="22"/>
  <c r="AH26" i="22"/>
  <c r="AD26" i="22"/>
  <c r="AC26" i="22"/>
  <c r="Z26" i="22"/>
  <c r="Y26" i="22"/>
  <c r="V26" i="22"/>
  <c r="U26" i="22"/>
  <c r="T26" i="22"/>
  <c r="S26" i="22"/>
  <c r="R26" i="22"/>
  <c r="E26" i="22"/>
  <c r="D26" i="22"/>
  <c r="C26" i="22"/>
  <c r="B26" i="22"/>
  <c r="CP25" i="22"/>
  <c r="CO25" i="22"/>
  <c r="CL25" i="22"/>
  <c r="CK25" i="22"/>
  <c r="CH25" i="22"/>
  <c r="CG25" i="22"/>
  <c r="CF25" i="22"/>
  <c r="CE25" i="22"/>
  <c r="CD25" i="22"/>
  <c r="BZ25" i="22"/>
  <c r="BY25" i="22"/>
  <c r="BV25" i="22"/>
  <c r="BU25" i="22"/>
  <c r="BR25" i="22"/>
  <c r="BQ25" i="22"/>
  <c r="BP25" i="22"/>
  <c r="BO25" i="22"/>
  <c r="BN25" i="22"/>
  <c r="BJ25" i="22"/>
  <c r="BI25" i="22"/>
  <c r="BF25" i="22"/>
  <c r="BE25" i="22"/>
  <c r="BB25" i="22"/>
  <c r="BA25" i="22"/>
  <c r="AZ25" i="22"/>
  <c r="AY25" i="22"/>
  <c r="AX25" i="22"/>
  <c r="AT25" i="22"/>
  <c r="AS25" i="22"/>
  <c r="AP25" i="22"/>
  <c r="AO25" i="22"/>
  <c r="AL25" i="22"/>
  <c r="AK25" i="22"/>
  <c r="AJ25" i="22"/>
  <c r="AI25" i="22"/>
  <c r="AH25" i="22"/>
  <c r="AD25" i="22"/>
  <c r="AC25" i="22"/>
  <c r="Z25" i="22"/>
  <c r="Y25" i="22"/>
  <c r="V25" i="22"/>
  <c r="U25" i="22"/>
  <c r="T25" i="22"/>
  <c r="S25" i="22"/>
  <c r="R25" i="22"/>
  <c r="E25" i="22"/>
  <c r="D25" i="22"/>
  <c r="C25" i="22"/>
  <c r="B25" i="22"/>
  <c r="CP24" i="22"/>
  <c r="CO24" i="22"/>
  <c r="CL24" i="22"/>
  <c r="CK24" i="22"/>
  <c r="CH24" i="22"/>
  <c r="CG24" i="22"/>
  <c r="CF24" i="22"/>
  <c r="CE24" i="22"/>
  <c r="CD24" i="22"/>
  <c r="BZ24" i="22"/>
  <c r="BY24" i="22"/>
  <c r="BV24" i="22"/>
  <c r="BU24" i="22"/>
  <c r="BR24" i="22"/>
  <c r="BQ24" i="22"/>
  <c r="BP24" i="22"/>
  <c r="BO24" i="22"/>
  <c r="BN24" i="22"/>
  <c r="BJ24" i="22"/>
  <c r="BI24" i="22"/>
  <c r="BF24" i="22"/>
  <c r="BE24" i="22"/>
  <c r="BB24" i="22"/>
  <c r="BA24" i="22"/>
  <c r="AZ24" i="22"/>
  <c r="AY24" i="22"/>
  <c r="AX24" i="22"/>
  <c r="AT24" i="22"/>
  <c r="AS24" i="22"/>
  <c r="AP24" i="22"/>
  <c r="AO24" i="22"/>
  <c r="AL24" i="22"/>
  <c r="AK24" i="22"/>
  <c r="AJ24" i="22"/>
  <c r="AI24" i="22"/>
  <c r="AH24" i="22"/>
  <c r="AD24" i="22"/>
  <c r="AC24" i="22"/>
  <c r="Z24" i="22"/>
  <c r="Y24" i="22"/>
  <c r="V24" i="22"/>
  <c r="U24" i="22"/>
  <c r="T24" i="22"/>
  <c r="S24" i="22"/>
  <c r="R24" i="22"/>
  <c r="E24" i="22"/>
  <c r="D24" i="22"/>
  <c r="C24" i="22"/>
  <c r="B24" i="22"/>
  <c r="CP23" i="22"/>
  <c r="CO23" i="22"/>
  <c r="CL23" i="22"/>
  <c r="CK23" i="22"/>
  <c r="CH23" i="22"/>
  <c r="CG23" i="22"/>
  <c r="CF23" i="22"/>
  <c r="CE23" i="22"/>
  <c r="CD23" i="22"/>
  <c r="BZ23" i="22"/>
  <c r="BY23" i="22"/>
  <c r="BV23" i="22"/>
  <c r="BU23" i="22"/>
  <c r="BR23" i="22"/>
  <c r="BQ23" i="22"/>
  <c r="BP23" i="22"/>
  <c r="BO23" i="22"/>
  <c r="BN23" i="22"/>
  <c r="BJ23" i="22"/>
  <c r="BI23" i="22"/>
  <c r="BF23" i="22"/>
  <c r="BE23" i="22"/>
  <c r="BB23" i="22"/>
  <c r="BA23" i="22"/>
  <c r="AZ23" i="22"/>
  <c r="AY23" i="22"/>
  <c r="AX23" i="22"/>
  <c r="AT23" i="22"/>
  <c r="AS23" i="22"/>
  <c r="AP23" i="22"/>
  <c r="AO23" i="22"/>
  <c r="AL23" i="22"/>
  <c r="AK23" i="22"/>
  <c r="AJ23" i="22"/>
  <c r="AI23" i="22"/>
  <c r="AH23" i="22"/>
  <c r="AD23" i="22"/>
  <c r="AC23" i="22"/>
  <c r="Z23" i="22"/>
  <c r="Y23" i="22"/>
  <c r="V23" i="22"/>
  <c r="U23" i="22"/>
  <c r="T23" i="22"/>
  <c r="S23" i="22"/>
  <c r="R23" i="22"/>
  <c r="E23" i="22"/>
  <c r="D23" i="22"/>
  <c r="C23" i="22"/>
  <c r="B23" i="22"/>
  <c r="CP22" i="22"/>
  <c r="CO22" i="22"/>
  <c r="CL22" i="22"/>
  <c r="CK22" i="22"/>
  <c r="CH22" i="22"/>
  <c r="CG22" i="22"/>
  <c r="CF22" i="22"/>
  <c r="CE22" i="22"/>
  <c r="CD22" i="22"/>
  <c r="BZ22" i="22"/>
  <c r="BY22" i="22"/>
  <c r="BV22" i="22"/>
  <c r="BU22" i="22"/>
  <c r="BR22" i="22"/>
  <c r="BQ22" i="22"/>
  <c r="BP22" i="22"/>
  <c r="BO22" i="22"/>
  <c r="BN22" i="22"/>
  <c r="BJ22" i="22"/>
  <c r="BI22" i="22"/>
  <c r="BF22" i="22"/>
  <c r="BE22" i="22"/>
  <c r="BB22" i="22"/>
  <c r="BA22" i="22"/>
  <c r="AZ22" i="22"/>
  <c r="AY22" i="22"/>
  <c r="AX22" i="22"/>
  <c r="AT22" i="22"/>
  <c r="AS22" i="22"/>
  <c r="AP22" i="22"/>
  <c r="AO22" i="22"/>
  <c r="AL22" i="22"/>
  <c r="AK22" i="22"/>
  <c r="AJ22" i="22"/>
  <c r="AI22" i="22"/>
  <c r="AH22" i="22"/>
  <c r="AD22" i="22"/>
  <c r="AC22" i="22"/>
  <c r="Z22" i="22"/>
  <c r="Y22" i="22"/>
  <c r="V22" i="22"/>
  <c r="U22" i="22"/>
  <c r="T22" i="22"/>
  <c r="S22" i="22"/>
  <c r="R22" i="22"/>
  <c r="E22" i="22"/>
  <c r="D22" i="22"/>
  <c r="C22" i="22"/>
  <c r="B22" i="22"/>
  <c r="CP21" i="22"/>
  <c r="CO21" i="22"/>
  <c r="CL21" i="22"/>
  <c r="CK21" i="22"/>
  <c r="CH21" i="22"/>
  <c r="CG21" i="22"/>
  <c r="CF21" i="22"/>
  <c r="CE21" i="22"/>
  <c r="CD21" i="22"/>
  <c r="BZ21" i="22"/>
  <c r="BY21" i="22"/>
  <c r="BV21" i="22"/>
  <c r="BU21" i="22"/>
  <c r="BR21" i="22"/>
  <c r="BQ21" i="22"/>
  <c r="BP21" i="22"/>
  <c r="BO21" i="22"/>
  <c r="BN21" i="22"/>
  <c r="BJ21" i="22"/>
  <c r="BI21" i="22"/>
  <c r="BF21" i="22"/>
  <c r="BE21" i="22"/>
  <c r="BB21" i="22"/>
  <c r="BA21" i="22"/>
  <c r="AZ21" i="22"/>
  <c r="AY21" i="22"/>
  <c r="AX21" i="22"/>
  <c r="AT21" i="22"/>
  <c r="AS21" i="22"/>
  <c r="AP21" i="22"/>
  <c r="AO21" i="22"/>
  <c r="AL21" i="22"/>
  <c r="AK21" i="22"/>
  <c r="AJ21" i="22"/>
  <c r="AI21" i="22"/>
  <c r="AH21" i="22"/>
  <c r="AD21" i="22"/>
  <c r="AC21" i="22"/>
  <c r="Z21" i="22"/>
  <c r="Y21" i="22"/>
  <c r="V21" i="22"/>
  <c r="U21" i="22"/>
  <c r="T21" i="22"/>
  <c r="S21" i="22"/>
  <c r="R21" i="22"/>
  <c r="E21" i="22"/>
  <c r="D21" i="22"/>
  <c r="C21" i="22"/>
  <c r="B21" i="22"/>
  <c r="CP20" i="22"/>
  <c r="CO20" i="22"/>
  <c r="CL20" i="22"/>
  <c r="CK20" i="22"/>
  <c r="CH20" i="22"/>
  <c r="CG20" i="22"/>
  <c r="CF20" i="22"/>
  <c r="CE20" i="22"/>
  <c r="CD20" i="22"/>
  <c r="BZ20" i="22"/>
  <c r="BY20" i="22"/>
  <c r="BV20" i="22"/>
  <c r="BU20" i="22"/>
  <c r="BR20" i="22"/>
  <c r="BQ20" i="22"/>
  <c r="BP20" i="22"/>
  <c r="BO20" i="22"/>
  <c r="BN20" i="22"/>
  <c r="BJ20" i="22"/>
  <c r="BI20" i="22"/>
  <c r="BF20" i="22"/>
  <c r="BE20" i="22"/>
  <c r="BB20" i="22"/>
  <c r="BA20" i="22"/>
  <c r="AZ20" i="22"/>
  <c r="AY20" i="22"/>
  <c r="AX20" i="22"/>
  <c r="AT20" i="22"/>
  <c r="AS20" i="22"/>
  <c r="AP20" i="22"/>
  <c r="AO20" i="22"/>
  <c r="AL20" i="22"/>
  <c r="AK20" i="22"/>
  <c r="AJ20" i="22"/>
  <c r="AI20" i="22"/>
  <c r="AH20" i="22"/>
  <c r="AD20" i="22"/>
  <c r="AC20" i="22"/>
  <c r="Z20" i="22"/>
  <c r="Y20" i="22"/>
  <c r="V20" i="22"/>
  <c r="U20" i="22"/>
  <c r="T20" i="22"/>
  <c r="S20" i="22"/>
  <c r="R20" i="22"/>
  <c r="E20" i="22"/>
  <c r="D20" i="22"/>
  <c r="C20" i="22"/>
  <c r="B20" i="22"/>
  <c r="CP19" i="22"/>
  <c r="CO19" i="22"/>
  <c r="CL19" i="22"/>
  <c r="CK19" i="22"/>
  <c r="CH19" i="22"/>
  <c r="CG19" i="22"/>
  <c r="CF19" i="22"/>
  <c r="CE19" i="22"/>
  <c r="CD19" i="22"/>
  <c r="BZ19" i="22"/>
  <c r="BY19" i="22"/>
  <c r="BV19" i="22"/>
  <c r="BU19" i="22"/>
  <c r="BR19" i="22"/>
  <c r="BQ19" i="22"/>
  <c r="BP19" i="22"/>
  <c r="BO19" i="22"/>
  <c r="BN19" i="22"/>
  <c r="BJ19" i="22"/>
  <c r="BI19" i="22"/>
  <c r="BF19" i="22"/>
  <c r="BE19" i="22"/>
  <c r="BB19" i="22"/>
  <c r="BA19" i="22"/>
  <c r="AZ19" i="22"/>
  <c r="AY19" i="22"/>
  <c r="AX19" i="22"/>
  <c r="AT19" i="22"/>
  <c r="AS19" i="22"/>
  <c r="AP19" i="22"/>
  <c r="AO19" i="22"/>
  <c r="AL19" i="22"/>
  <c r="AK19" i="22"/>
  <c r="AJ19" i="22"/>
  <c r="AI19" i="22"/>
  <c r="AH19" i="22"/>
  <c r="AD19" i="22"/>
  <c r="AC19" i="22"/>
  <c r="Z19" i="22"/>
  <c r="Y19" i="22"/>
  <c r="V19" i="22"/>
  <c r="U19" i="22"/>
  <c r="T19" i="22"/>
  <c r="S19" i="22"/>
  <c r="R19" i="22"/>
  <c r="E19" i="22"/>
  <c r="D19" i="22"/>
  <c r="C19" i="22"/>
  <c r="B19" i="22"/>
  <c r="CP18" i="22"/>
  <c r="CO18" i="22"/>
  <c r="CL18" i="22"/>
  <c r="CK18" i="22"/>
  <c r="CH18" i="22"/>
  <c r="CG18" i="22"/>
  <c r="CF18" i="22"/>
  <c r="CE18" i="22"/>
  <c r="CD18" i="22"/>
  <c r="BZ18" i="22"/>
  <c r="BY18" i="22"/>
  <c r="BV18" i="22"/>
  <c r="BU18" i="22"/>
  <c r="BR18" i="22"/>
  <c r="BQ18" i="22"/>
  <c r="BP18" i="22"/>
  <c r="BO18" i="22"/>
  <c r="BN18" i="22"/>
  <c r="BJ18" i="22"/>
  <c r="BI18" i="22"/>
  <c r="BF18" i="22"/>
  <c r="BE18" i="22"/>
  <c r="BB18" i="22"/>
  <c r="BA18" i="22"/>
  <c r="AZ18" i="22"/>
  <c r="AY18" i="22"/>
  <c r="AX18" i="22"/>
  <c r="AT18" i="22"/>
  <c r="AS18" i="22"/>
  <c r="AP18" i="22"/>
  <c r="AO18" i="22"/>
  <c r="AL18" i="22"/>
  <c r="AK18" i="22"/>
  <c r="AJ18" i="22"/>
  <c r="AI18" i="22"/>
  <c r="AH18" i="22"/>
  <c r="AD18" i="22"/>
  <c r="AC18" i="22"/>
  <c r="Z18" i="22"/>
  <c r="Y18" i="22"/>
  <c r="V18" i="22"/>
  <c r="U18" i="22"/>
  <c r="T18" i="22"/>
  <c r="S18" i="22"/>
  <c r="R18" i="22"/>
  <c r="E18" i="22"/>
  <c r="D18" i="22"/>
  <c r="C18" i="22"/>
  <c r="B18" i="22"/>
  <c r="CP17" i="22"/>
  <c r="CO17" i="22"/>
  <c r="CL17" i="22"/>
  <c r="CK17" i="22"/>
  <c r="CH17" i="22"/>
  <c r="CG17" i="22"/>
  <c r="CF17" i="22"/>
  <c r="CE17" i="22"/>
  <c r="CD17" i="22"/>
  <c r="BZ17" i="22"/>
  <c r="BY17" i="22"/>
  <c r="BV17" i="22"/>
  <c r="BU17" i="22"/>
  <c r="BR17" i="22"/>
  <c r="BQ17" i="22"/>
  <c r="BP17" i="22"/>
  <c r="BO17" i="22"/>
  <c r="BN17" i="22"/>
  <c r="BJ17" i="22"/>
  <c r="BI17" i="22"/>
  <c r="BF17" i="22"/>
  <c r="BE17" i="22"/>
  <c r="BB17" i="22"/>
  <c r="BA17" i="22"/>
  <c r="AZ17" i="22"/>
  <c r="AY17" i="22"/>
  <c r="AX17" i="22"/>
  <c r="AT17" i="22"/>
  <c r="AS17" i="22"/>
  <c r="AP17" i="22"/>
  <c r="AO17" i="22"/>
  <c r="AL17" i="22"/>
  <c r="AK17" i="22"/>
  <c r="AJ17" i="22"/>
  <c r="AI17" i="22"/>
  <c r="AH17" i="22"/>
  <c r="AD17" i="22"/>
  <c r="AC17" i="22"/>
  <c r="Z17" i="22"/>
  <c r="Y17" i="22"/>
  <c r="V17" i="22"/>
  <c r="U17" i="22"/>
  <c r="T17" i="22"/>
  <c r="S17" i="22"/>
  <c r="R17" i="22"/>
  <c r="E17" i="22"/>
  <c r="D17" i="22"/>
  <c r="C17" i="22"/>
  <c r="B17" i="22"/>
  <c r="CP16" i="22"/>
  <c r="CO16" i="22"/>
  <c r="CL16" i="22"/>
  <c r="CK16" i="22"/>
  <c r="CH16" i="22"/>
  <c r="CG16" i="22"/>
  <c r="CF16" i="22"/>
  <c r="CE16" i="22"/>
  <c r="CD16" i="22"/>
  <c r="BZ16" i="22"/>
  <c r="BY16" i="22"/>
  <c r="BV16" i="22"/>
  <c r="BU16" i="22"/>
  <c r="BR16" i="22"/>
  <c r="BQ16" i="22"/>
  <c r="BP16" i="22"/>
  <c r="BO16" i="22"/>
  <c r="BN16" i="22"/>
  <c r="BJ16" i="22"/>
  <c r="BI16" i="22"/>
  <c r="BF16" i="22"/>
  <c r="BE16" i="22"/>
  <c r="BB16" i="22"/>
  <c r="BA16" i="22"/>
  <c r="AZ16" i="22"/>
  <c r="AY16" i="22"/>
  <c r="AX16" i="22"/>
  <c r="AT16" i="22"/>
  <c r="AS16" i="22"/>
  <c r="AP16" i="22"/>
  <c r="AO16" i="22"/>
  <c r="AL16" i="22"/>
  <c r="AK16" i="22"/>
  <c r="AJ16" i="22"/>
  <c r="AI16" i="22"/>
  <c r="AH16" i="22"/>
  <c r="AD16" i="22"/>
  <c r="AC16" i="22"/>
  <c r="Z16" i="22"/>
  <c r="Y16" i="22"/>
  <c r="V16" i="22"/>
  <c r="U16" i="22"/>
  <c r="T16" i="22"/>
  <c r="S16" i="22"/>
  <c r="R16" i="22"/>
  <c r="E16" i="22"/>
  <c r="D16" i="22"/>
  <c r="C16" i="22"/>
  <c r="B16" i="22"/>
  <c r="CP15" i="22"/>
  <c r="CO15" i="22"/>
  <c r="CL15" i="22"/>
  <c r="CK15" i="22"/>
  <c r="CH15" i="22"/>
  <c r="CG15" i="22"/>
  <c r="CF15" i="22"/>
  <c r="CE15" i="22"/>
  <c r="CD15" i="22"/>
  <c r="BZ15" i="22"/>
  <c r="BY15" i="22"/>
  <c r="BV15" i="22"/>
  <c r="BU15" i="22"/>
  <c r="BR15" i="22"/>
  <c r="BQ15" i="22"/>
  <c r="BP15" i="22"/>
  <c r="BO15" i="22"/>
  <c r="BN15" i="22"/>
  <c r="BJ15" i="22"/>
  <c r="BI15" i="22"/>
  <c r="BF15" i="22"/>
  <c r="BE15" i="22"/>
  <c r="BB15" i="22"/>
  <c r="BA15" i="22"/>
  <c r="AZ15" i="22"/>
  <c r="AY15" i="22"/>
  <c r="AX15" i="22"/>
  <c r="AT15" i="22"/>
  <c r="AS15" i="22"/>
  <c r="AP15" i="22"/>
  <c r="AO15" i="22"/>
  <c r="AL15" i="22"/>
  <c r="AK15" i="22"/>
  <c r="AJ15" i="22"/>
  <c r="AI15" i="22"/>
  <c r="AH15" i="22"/>
  <c r="AD15" i="22"/>
  <c r="AC15" i="22"/>
  <c r="Z15" i="22"/>
  <c r="Y15" i="22"/>
  <c r="V15" i="22"/>
  <c r="U15" i="22"/>
  <c r="T15" i="22"/>
  <c r="S15" i="22"/>
  <c r="R15" i="22"/>
  <c r="E15" i="22"/>
  <c r="D15" i="22"/>
  <c r="C15" i="22"/>
  <c r="B15" i="22"/>
  <c r="CP14" i="22"/>
  <c r="CO14" i="22"/>
  <c r="CL14" i="22"/>
  <c r="CK14" i="22"/>
  <c r="CH14" i="22"/>
  <c r="CG14" i="22"/>
  <c r="CF14" i="22"/>
  <c r="CE14" i="22"/>
  <c r="CD14" i="22"/>
  <c r="BZ14" i="22"/>
  <c r="BY14" i="22"/>
  <c r="BV14" i="22"/>
  <c r="BU14" i="22"/>
  <c r="BR14" i="22"/>
  <c r="BQ14" i="22"/>
  <c r="BP14" i="22"/>
  <c r="BO14" i="22"/>
  <c r="BN14" i="22"/>
  <c r="BJ14" i="22"/>
  <c r="BI14" i="22"/>
  <c r="BF14" i="22"/>
  <c r="BE14" i="22"/>
  <c r="BB14" i="22"/>
  <c r="BA14" i="22"/>
  <c r="AZ14" i="22"/>
  <c r="AY14" i="22"/>
  <c r="AX14" i="22"/>
  <c r="AT14" i="22"/>
  <c r="AS14" i="22"/>
  <c r="AP14" i="22"/>
  <c r="AO14" i="22"/>
  <c r="AL14" i="22"/>
  <c r="AK14" i="22"/>
  <c r="AJ14" i="22"/>
  <c r="AI14" i="22"/>
  <c r="AH14" i="22"/>
  <c r="AD14" i="22"/>
  <c r="AC14" i="22"/>
  <c r="Z14" i="22"/>
  <c r="Y14" i="22"/>
  <c r="V14" i="22"/>
  <c r="U14" i="22"/>
  <c r="T14" i="22"/>
  <c r="S14" i="22"/>
  <c r="R14" i="22"/>
  <c r="E14" i="22"/>
  <c r="D14" i="22"/>
  <c r="C14" i="22"/>
  <c r="B14" i="22"/>
  <c r="CP13" i="22"/>
  <c r="CO13" i="22"/>
  <c r="CL13" i="22"/>
  <c r="CK13" i="22"/>
  <c r="CH13" i="22"/>
  <c r="CG13" i="22"/>
  <c r="CF13" i="22"/>
  <c r="CE13" i="22"/>
  <c r="CD13" i="22"/>
  <c r="BZ13" i="22"/>
  <c r="BY13" i="22"/>
  <c r="BV13" i="22"/>
  <c r="BU13" i="22"/>
  <c r="BR13" i="22"/>
  <c r="BQ13" i="22"/>
  <c r="BP13" i="22"/>
  <c r="BO13" i="22"/>
  <c r="BN13" i="22"/>
  <c r="BJ13" i="22"/>
  <c r="BI13" i="22"/>
  <c r="BF13" i="22"/>
  <c r="BE13" i="22"/>
  <c r="BB13" i="22"/>
  <c r="BA13" i="22"/>
  <c r="AZ13" i="22"/>
  <c r="AY13" i="22"/>
  <c r="AX13" i="22"/>
  <c r="AT13" i="22"/>
  <c r="AS13" i="22"/>
  <c r="AP13" i="22"/>
  <c r="AO13" i="22"/>
  <c r="AL13" i="22"/>
  <c r="AK13" i="22"/>
  <c r="AJ13" i="22"/>
  <c r="AI13" i="22"/>
  <c r="AH13" i="22"/>
  <c r="AD13" i="22"/>
  <c r="AC13" i="22"/>
  <c r="Z13" i="22"/>
  <c r="Y13" i="22"/>
  <c r="V13" i="22"/>
  <c r="U13" i="22"/>
  <c r="T13" i="22"/>
  <c r="S13" i="22"/>
  <c r="R13" i="22"/>
  <c r="E13" i="22"/>
  <c r="D13" i="22"/>
  <c r="C13" i="22"/>
  <c r="B13" i="22"/>
  <c r="CP11" i="22"/>
  <c r="CL11" i="22"/>
  <c r="CH11" i="22"/>
  <c r="BZ11" i="22"/>
  <c r="BV11" i="22"/>
  <c r="BR11" i="22"/>
  <c r="BJ11" i="22"/>
  <c r="BF11" i="22"/>
  <c r="BB11" i="22"/>
  <c r="AT11" i="22"/>
  <c r="AP11" i="22"/>
  <c r="AL11" i="22"/>
  <c r="AD11" i="22"/>
  <c r="Z11" i="22"/>
  <c r="V11" i="22"/>
  <c r="F11" i="22"/>
  <c r="CC8" i="22"/>
  <c r="BM8" i="22"/>
  <c r="AW8" i="22"/>
  <c r="AG8" i="22"/>
  <c r="Q8" i="22"/>
  <c r="A8" i="22"/>
  <c r="CC7" i="22"/>
  <c r="BM7" i="22"/>
  <c r="AW7" i="22"/>
  <c r="AG7" i="22"/>
  <c r="Q7" i="22"/>
  <c r="A7" i="22"/>
  <c r="CC6" i="22"/>
  <c r="BM6" i="22"/>
  <c r="AW6" i="22"/>
  <c r="AG6" i="22"/>
  <c r="Q6" i="22"/>
  <c r="A6" i="22"/>
  <c r="CC5" i="22"/>
  <c r="BM5" i="22"/>
  <c r="AW5" i="22"/>
  <c r="AG5" i="22"/>
  <c r="Q5" i="22"/>
  <c r="A5" i="22"/>
  <c r="CC4" i="22"/>
  <c r="BM4" i="22"/>
  <c r="AW4" i="22"/>
  <c r="AG4" i="22"/>
  <c r="Q4" i="22"/>
  <c r="A4" i="22"/>
  <c r="CC3" i="22"/>
  <c r="BM3" i="22"/>
  <c r="AW3" i="22"/>
  <c r="AG3" i="22"/>
  <c r="Q3" i="22"/>
  <c r="A3" i="22"/>
  <c r="CC2" i="22"/>
  <c r="BM2" i="22"/>
  <c r="AW2" i="22"/>
  <c r="AG2" i="22"/>
  <c r="Q2" i="22"/>
  <c r="A2" i="22"/>
  <c r="CC1" i="22"/>
  <c r="BM1" i="22"/>
  <c r="AW1" i="22"/>
  <c r="AG1" i="22"/>
  <c r="Q1" i="22"/>
  <c r="A1" i="22"/>
  <c r="E13" i="21"/>
  <c r="D13" i="21"/>
  <c r="C13" i="21"/>
  <c r="E16" i="21"/>
  <c r="D16" i="21"/>
  <c r="C16" i="21"/>
  <c r="E14" i="21"/>
  <c r="D14" i="21"/>
  <c r="C14" i="21"/>
  <c r="E18" i="21"/>
  <c r="D18" i="21"/>
  <c r="C18" i="21"/>
  <c r="E15" i="21"/>
  <c r="D15" i="21"/>
  <c r="C15" i="21"/>
  <c r="E19" i="21"/>
  <c r="D19" i="21"/>
  <c r="C19" i="21"/>
  <c r="E17" i="21"/>
  <c r="D17" i="21"/>
  <c r="C17" i="21"/>
  <c r="E20" i="21"/>
  <c r="D20" i="21"/>
  <c r="C20" i="21"/>
  <c r="H10" i="21"/>
  <c r="A10" i="21"/>
  <c r="A6" i="21"/>
  <c r="A5" i="21"/>
  <c r="A4" i="21"/>
  <c r="A3" i="21"/>
  <c r="A2" i="21"/>
  <c r="A1" i="21"/>
  <c r="CX20" i="20"/>
  <c r="CW20" i="20"/>
  <c r="CT20" i="20"/>
  <c r="CS20" i="20"/>
  <c r="CP20" i="20"/>
  <c r="CO20" i="20"/>
  <c r="CN20" i="20"/>
  <c r="CM20" i="20"/>
  <c r="CL20" i="20"/>
  <c r="CH20" i="20"/>
  <c r="CG20" i="20"/>
  <c r="CD20" i="20"/>
  <c r="CC20" i="20"/>
  <c r="BZ20" i="20"/>
  <c r="BY20" i="20"/>
  <c r="BX20" i="20"/>
  <c r="BW20" i="20"/>
  <c r="BV20" i="20"/>
  <c r="BR20" i="20"/>
  <c r="BQ20" i="20"/>
  <c r="BN20" i="20"/>
  <c r="BM20" i="20"/>
  <c r="BJ20" i="20"/>
  <c r="BI20" i="20"/>
  <c r="BH20" i="20"/>
  <c r="BG20" i="20"/>
  <c r="BF20" i="20"/>
  <c r="BB20" i="20"/>
  <c r="BA20" i="20"/>
  <c r="AX20" i="20"/>
  <c r="AW20" i="20"/>
  <c r="AT20" i="20"/>
  <c r="AS20" i="20"/>
  <c r="AR20" i="20"/>
  <c r="AQ20" i="20"/>
  <c r="AP20" i="20"/>
  <c r="AL20" i="20"/>
  <c r="AK20" i="20"/>
  <c r="AH20" i="20"/>
  <c r="AG20" i="20"/>
  <c r="AD20" i="20"/>
  <c r="AC20" i="20"/>
  <c r="T20" i="20"/>
  <c r="S20" i="20"/>
  <c r="R20" i="20"/>
  <c r="E20" i="20"/>
  <c r="D20" i="20"/>
  <c r="C20" i="20"/>
  <c r="B20" i="20"/>
  <c r="CX19" i="20"/>
  <c r="CW19" i="20"/>
  <c r="CT19" i="20"/>
  <c r="CS19" i="20"/>
  <c r="CP19" i="20"/>
  <c r="CO19" i="20"/>
  <c r="CN19" i="20"/>
  <c r="CM19" i="20"/>
  <c r="CL19" i="20"/>
  <c r="CH19" i="20"/>
  <c r="CG19" i="20"/>
  <c r="CD19" i="20"/>
  <c r="CC19" i="20"/>
  <c r="BZ19" i="20"/>
  <c r="BY19" i="20"/>
  <c r="BX19" i="20"/>
  <c r="BW19" i="20"/>
  <c r="BV19" i="20"/>
  <c r="BR19" i="20"/>
  <c r="BQ19" i="20"/>
  <c r="BN19" i="20"/>
  <c r="BM19" i="20"/>
  <c r="BJ19" i="20"/>
  <c r="BI19" i="20"/>
  <c r="BH19" i="20"/>
  <c r="BG19" i="20"/>
  <c r="BF19" i="20"/>
  <c r="BB19" i="20"/>
  <c r="BA19" i="20"/>
  <c r="AX19" i="20"/>
  <c r="AW19" i="20"/>
  <c r="AT19" i="20"/>
  <c r="AS19" i="20"/>
  <c r="AR19" i="20"/>
  <c r="AQ19" i="20"/>
  <c r="AP19" i="20"/>
  <c r="AL19" i="20"/>
  <c r="AK19" i="20"/>
  <c r="AH19" i="20"/>
  <c r="AG19" i="20"/>
  <c r="AD19" i="20"/>
  <c r="AC19" i="20"/>
  <c r="T19" i="20"/>
  <c r="S19" i="20"/>
  <c r="R19" i="20"/>
  <c r="E19" i="20"/>
  <c r="D19" i="20"/>
  <c r="C19" i="20"/>
  <c r="B19" i="20"/>
  <c r="CX18" i="20"/>
  <c r="CW18" i="20"/>
  <c r="CT18" i="20"/>
  <c r="CS18" i="20"/>
  <c r="CP18" i="20"/>
  <c r="CO18" i="20"/>
  <c r="CN18" i="20"/>
  <c r="CM18" i="20"/>
  <c r="CL18" i="20"/>
  <c r="CH18" i="20"/>
  <c r="CG18" i="20"/>
  <c r="CD18" i="20"/>
  <c r="CC18" i="20"/>
  <c r="BZ18" i="20"/>
  <c r="BY18" i="20"/>
  <c r="BX18" i="20"/>
  <c r="BW18" i="20"/>
  <c r="BV18" i="20"/>
  <c r="BR18" i="20"/>
  <c r="BQ18" i="20"/>
  <c r="BN18" i="20"/>
  <c r="BM18" i="20"/>
  <c r="BJ18" i="20"/>
  <c r="BI18" i="20"/>
  <c r="BH18" i="20"/>
  <c r="BG18" i="20"/>
  <c r="BF18" i="20"/>
  <c r="BB18" i="20"/>
  <c r="BA18" i="20"/>
  <c r="AX18" i="20"/>
  <c r="AW18" i="20"/>
  <c r="AT18" i="20"/>
  <c r="AS18" i="20"/>
  <c r="AR18" i="20"/>
  <c r="AQ18" i="20"/>
  <c r="AP18" i="20"/>
  <c r="AL18" i="20"/>
  <c r="AK18" i="20"/>
  <c r="AH18" i="20"/>
  <c r="AG18" i="20"/>
  <c r="AD18" i="20"/>
  <c r="AC18" i="20"/>
  <c r="T18" i="20"/>
  <c r="S18" i="20"/>
  <c r="R18" i="20"/>
  <c r="D18" i="20"/>
  <c r="C18" i="20"/>
  <c r="B18" i="20"/>
  <c r="CX17" i="20"/>
  <c r="CW17" i="20"/>
  <c r="CT17" i="20"/>
  <c r="CS17" i="20"/>
  <c r="CP17" i="20"/>
  <c r="CO17" i="20"/>
  <c r="CN17" i="20"/>
  <c r="CM17" i="20"/>
  <c r="CL17" i="20"/>
  <c r="CH17" i="20"/>
  <c r="CG17" i="20"/>
  <c r="CD17" i="20"/>
  <c r="CC17" i="20"/>
  <c r="BZ17" i="20"/>
  <c r="BY17" i="20"/>
  <c r="BX17" i="20"/>
  <c r="BW17" i="20"/>
  <c r="BV17" i="20"/>
  <c r="BR17" i="20"/>
  <c r="BQ17" i="20"/>
  <c r="BN17" i="20"/>
  <c r="BM17" i="20"/>
  <c r="BJ17" i="20"/>
  <c r="BI17" i="20"/>
  <c r="BH17" i="20"/>
  <c r="BG17" i="20"/>
  <c r="BF17" i="20"/>
  <c r="BB17" i="20"/>
  <c r="BA17" i="20"/>
  <c r="AX17" i="20"/>
  <c r="AW17" i="20"/>
  <c r="AT17" i="20"/>
  <c r="AS17" i="20"/>
  <c r="AR17" i="20"/>
  <c r="AQ17" i="20"/>
  <c r="AP17" i="20"/>
  <c r="AL17" i="20"/>
  <c r="AK17" i="20"/>
  <c r="AH17" i="20"/>
  <c r="AG17" i="20"/>
  <c r="AD17" i="20"/>
  <c r="AC17" i="20"/>
  <c r="T17" i="20"/>
  <c r="S17" i="20"/>
  <c r="R17" i="20"/>
  <c r="D17" i="20"/>
  <c r="C17" i="20"/>
  <c r="B17" i="20"/>
  <c r="CX16" i="20"/>
  <c r="CW16" i="20"/>
  <c r="CT16" i="20"/>
  <c r="CS16" i="20"/>
  <c r="CP16" i="20"/>
  <c r="CO16" i="20"/>
  <c r="CN16" i="20"/>
  <c r="CM16" i="20"/>
  <c r="CL16" i="20"/>
  <c r="CH16" i="20"/>
  <c r="CG16" i="20"/>
  <c r="CD16" i="20"/>
  <c r="CC16" i="20"/>
  <c r="BZ16" i="20"/>
  <c r="BY16" i="20"/>
  <c r="BX16" i="20"/>
  <c r="BW16" i="20"/>
  <c r="BV16" i="20"/>
  <c r="BR16" i="20"/>
  <c r="BQ16" i="20"/>
  <c r="BN16" i="20"/>
  <c r="BM16" i="20"/>
  <c r="BJ16" i="20"/>
  <c r="BI16" i="20"/>
  <c r="BH16" i="20"/>
  <c r="BG16" i="20"/>
  <c r="BF16" i="20"/>
  <c r="BB16" i="20"/>
  <c r="BA16" i="20"/>
  <c r="AX16" i="20"/>
  <c r="AW16" i="20"/>
  <c r="AT16" i="20"/>
  <c r="AS16" i="20"/>
  <c r="AR16" i="20"/>
  <c r="AQ16" i="20"/>
  <c r="AP16" i="20"/>
  <c r="AL16" i="20"/>
  <c r="AK16" i="20"/>
  <c r="AH16" i="20"/>
  <c r="AG16" i="20"/>
  <c r="AD16" i="20"/>
  <c r="AC16" i="20"/>
  <c r="T16" i="20"/>
  <c r="S16" i="20"/>
  <c r="R16" i="20"/>
  <c r="D16" i="20"/>
  <c r="C16" i="20"/>
  <c r="B16" i="20"/>
  <c r="CX15" i="20"/>
  <c r="CW15" i="20"/>
  <c r="CT15" i="20"/>
  <c r="CS15" i="20"/>
  <c r="CP15" i="20"/>
  <c r="CO15" i="20"/>
  <c r="CN15" i="20"/>
  <c r="CM15" i="20"/>
  <c r="CL15" i="20"/>
  <c r="CH15" i="20"/>
  <c r="CG15" i="20"/>
  <c r="CD15" i="20"/>
  <c r="CC15" i="20"/>
  <c r="BZ15" i="20"/>
  <c r="BY15" i="20"/>
  <c r="BX15" i="20"/>
  <c r="BW15" i="20"/>
  <c r="BV15" i="20"/>
  <c r="BR15" i="20"/>
  <c r="BQ15" i="20"/>
  <c r="BN15" i="20"/>
  <c r="BM15" i="20"/>
  <c r="BJ15" i="20"/>
  <c r="BI15" i="20"/>
  <c r="BH15" i="20"/>
  <c r="BG15" i="20"/>
  <c r="BF15" i="20"/>
  <c r="BB15" i="20"/>
  <c r="BA15" i="20"/>
  <c r="AX15" i="20"/>
  <c r="AW15" i="20"/>
  <c r="AT15" i="20"/>
  <c r="AS15" i="20"/>
  <c r="AR15" i="20"/>
  <c r="AQ15" i="20"/>
  <c r="AP15" i="20"/>
  <c r="AL15" i="20"/>
  <c r="AK15" i="20"/>
  <c r="AH15" i="20"/>
  <c r="AG15" i="20"/>
  <c r="AD15" i="20"/>
  <c r="AC15" i="20"/>
  <c r="T15" i="20"/>
  <c r="S15" i="20"/>
  <c r="R15" i="20"/>
  <c r="D15" i="20"/>
  <c r="C15" i="20"/>
  <c r="B15" i="20"/>
  <c r="CX14" i="20"/>
  <c r="CW14" i="20"/>
  <c r="CT14" i="20"/>
  <c r="CS14" i="20"/>
  <c r="CP14" i="20"/>
  <c r="CO14" i="20"/>
  <c r="CN14" i="20"/>
  <c r="CM14" i="20"/>
  <c r="CL14" i="20"/>
  <c r="CH14" i="20"/>
  <c r="CG14" i="20"/>
  <c r="CD14" i="20"/>
  <c r="CC14" i="20"/>
  <c r="BZ14" i="20"/>
  <c r="BY14" i="20"/>
  <c r="BX14" i="20"/>
  <c r="BW14" i="20"/>
  <c r="BV14" i="20"/>
  <c r="BR14" i="20"/>
  <c r="BQ14" i="20"/>
  <c r="BN14" i="20"/>
  <c r="BM14" i="20"/>
  <c r="BJ14" i="20"/>
  <c r="BI14" i="20"/>
  <c r="BH14" i="20"/>
  <c r="BG14" i="20"/>
  <c r="BF14" i="20"/>
  <c r="BB14" i="20"/>
  <c r="BA14" i="20"/>
  <c r="AX14" i="20"/>
  <c r="AW14" i="20"/>
  <c r="AT14" i="20"/>
  <c r="AS14" i="20"/>
  <c r="AR14" i="20"/>
  <c r="AQ14" i="20"/>
  <c r="AP14" i="20"/>
  <c r="AL14" i="20"/>
  <c r="AK14" i="20"/>
  <c r="AH14" i="20"/>
  <c r="AG14" i="20"/>
  <c r="AD14" i="20"/>
  <c r="AC14" i="20"/>
  <c r="T14" i="20"/>
  <c r="S14" i="20"/>
  <c r="R14" i="20"/>
  <c r="D14" i="20"/>
  <c r="C14" i="20"/>
  <c r="B14" i="20"/>
  <c r="CX13" i="20"/>
  <c r="CW13" i="20"/>
  <c r="CT13" i="20"/>
  <c r="CS13" i="20"/>
  <c r="CP13" i="20"/>
  <c r="CO13" i="20"/>
  <c r="CN13" i="20"/>
  <c r="CM13" i="20"/>
  <c r="CL13" i="20"/>
  <c r="CH13" i="20"/>
  <c r="CG13" i="20"/>
  <c r="CD13" i="20"/>
  <c r="CC13" i="20"/>
  <c r="BZ13" i="20"/>
  <c r="BY13" i="20"/>
  <c r="BX13" i="20"/>
  <c r="BW13" i="20"/>
  <c r="BV13" i="20"/>
  <c r="BR13" i="20"/>
  <c r="BQ13" i="20"/>
  <c r="BN13" i="20"/>
  <c r="BM13" i="20"/>
  <c r="BJ13" i="20"/>
  <c r="BI13" i="20"/>
  <c r="BH13" i="20"/>
  <c r="BG13" i="20"/>
  <c r="BF13" i="20"/>
  <c r="BB13" i="20"/>
  <c r="BA13" i="20"/>
  <c r="AX13" i="20"/>
  <c r="AW13" i="20"/>
  <c r="AT13" i="20"/>
  <c r="AS13" i="20"/>
  <c r="AR13" i="20"/>
  <c r="AQ13" i="20"/>
  <c r="AP13" i="20"/>
  <c r="AL13" i="20"/>
  <c r="AK13" i="20"/>
  <c r="AH13" i="20"/>
  <c r="AG13" i="20"/>
  <c r="AD13" i="20"/>
  <c r="AC13" i="20"/>
  <c r="T13" i="20"/>
  <c r="S13" i="20"/>
  <c r="R13" i="20"/>
  <c r="D13" i="20"/>
  <c r="C13" i="20"/>
  <c r="B13" i="20"/>
  <c r="CX11" i="20"/>
  <c r="CT11" i="20"/>
  <c r="CP11" i="20"/>
  <c r="CH11" i="20"/>
  <c r="CD11" i="20"/>
  <c r="BZ11" i="20"/>
  <c r="BR11" i="20"/>
  <c r="BN11" i="20"/>
  <c r="BJ11" i="20"/>
  <c r="BB11" i="20"/>
  <c r="AX11" i="20"/>
  <c r="AT11" i="20"/>
  <c r="AL11" i="20"/>
  <c r="AH11" i="20"/>
  <c r="AD11" i="20"/>
  <c r="F11" i="20"/>
  <c r="CK8" i="20"/>
  <c r="BU8" i="20"/>
  <c r="BE8" i="20"/>
  <c r="AO8" i="20"/>
  <c r="Q8" i="20"/>
  <c r="A8" i="20"/>
  <c r="CK7" i="20"/>
  <c r="BU7" i="20"/>
  <c r="BE7" i="20"/>
  <c r="AO7" i="20"/>
  <c r="Q7" i="20"/>
  <c r="A7" i="20"/>
  <c r="CK6" i="20"/>
  <c r="BU6" i="20"/>
  <c r="BE6" i="20"/>
  <c r="AO6" i="20"/>
  <c r="Q6" i="20"/>
  <c r="A6" i="20"/>
  <c r="CK5" i="20"/>
  <c r="BU5" i="20"/>
  <c r="BE5" i="20"/>
  <c r="AO5" i="20"/>
  <c r="Q5" i="20"/>
  <c r="A5" i="20"/>
  <c r="CK4" i="20"/>
  <c r="BU4" i="20"/>
  <c r="BE4" i="20"/>
  <c r="AO4" i="20"/>
  <c r="Q4" i="20"/>
  <c r="A4" i="20"/>
  <c r="CK3" i="20"/>
  <c r="BU3" i="20"/>
  <c r="BE3" i="20"/>
  <c r="AO3" i="20"/>
  <c r="Q3" i="20"/>
  <c r="A3" i="20"/>
  <c r="CK2" i="20"/>
  <c r="BU2" i="20"/>
  <c r="BE2" i="20"/>
  <c r="AO2" i="20"/>
  <c r="Q2" i="20"/>
  <c r="A2" i="20"/>
  <c r="CK1" i="20"/>
  <c r="BU1" i="20"/>
  <c r="BE1" i="20"/>
  <c r="AO1" i="20"/>
  <c r="Q1" i="20"/>
  <c r="A1" i="20"/>
  <c r="D20" i="18"/>
  <c r="C20" i="18"/>
  <c r="B20" i="18"/>
  <c r="D19" i="18"/>
  <c r="C19" i="18"/>
  <c r="B19" i="18"/>
  <c r="D18" i="18"/>
  <c r="C18" i="18"/>
  <c r="B18" i="18"/>
  <c r="D17" i="18"/>
  <c r="C17" i="18"/>
  <c r="B17" i="18"/>
  <c r="D16" i="18"/>
  <c r="C16" i="18"/>
  <c r="B16" i="18"/>
  <c r="D15" i="18"/>
  <c r="C15" i="18"/>
  <c r="B15" i="18"/>
  <c r="D14" i="18"/>
  <c r="C14" i="18"/>
  <c r="B14" i="18"/>
  <c r="D13" i="18"/>
  <c r="C13" i="18"/>
  <c r="B13" i="18"/>
  <c r="C17" i="7"/>
  <c r="E27" i="6"/>
  <c r="D27" i="6"/>
  <c r="C27" i="6"/>
  <c r="B27" i="6"/>
  <c r="E26" i="6"/>
  <c r="D26" i="6"/>
  <c r="C26" i="6"/>
  <c r="B26" i="6"/>
  <c r="E25" i="6"/>
  <c r="D25" i="6"/>
  <c r="C25" i="6"/>
  <c r="B25" i="6"/>
  <c r="E24" i="6"/>
  <c r="D24" i="6"/>
  <c r="C24" i="6"/>
  <c r="B24" i="6"/>
  <c r="E23" i="6"/>
  <c r="D23" i="6"/>
  <c r="C23" i="6"/>
  <c r="B23" i="6"/>
  <c r="E22" i="6"/>
  <c r="D22" i="6"/>
  <c r="C22" i="6"/>
  <c r="B22" i="6"/>
  <c r="E21" i="6"/>
  <c r="D21" i="6"/>
  <c r="C21" i="6"/>
  <c r="B21" i="6"/>
  <c r="E20" i="6"/>
  <c r="D20" i="6"/>
  <c r="C20" i="6"/>
  <c r="B20" i="6"/>
  <c r="E19" i="6"/>
  <c r="D19" i="6"/>
  <c r="C19" i="6"/>
  <c r="B19" i="6"/>
  <c r="E18" i="6"/>
  <c r="D18" i="6"/>
  <c r="C18" i="6"/>
  <c r="B18" i="6"/>
  <c r="E17" i="6"/>
  <c r="D17" i="6"/>
  <c r="C17" i="6"/>
  <c r="B17" i="6"/>
  <c r="E16" i="6"/>
  <c r="D16" i="6"/>
  <c r="C16" i="6"/>
  <c r="B16" i="6"/>
  <c r="E15" i="6"/>
  <c r="D15" i="6"/>
  <c r="C15" i="6"/>
  <c r="B15" i="6"/>
  <c r="E14" i="6"/>
  <c r="D14" i="6"/>
  <c r="C14" i="6"/>
  <c r="B14" i="6"/>
  <c r="E13" i="6"/>
  <c r="D13" i="6"/>
  <c r="C13" i="6"/>
  <c r="B13" i="6"/>
  <c r="AH13" i="6"/>
  <c r="E17" i="19"/>
  <c r="D17" i="19"/>
  <c r="C17" i="19"/>
  <c r="E15" i="19"/>
  <c r="D15" i="19"/>
  <c r="C15" i="19"/>
  <c r="E14" i="19"/>
  <c r="D14" i="19"/>
  <c r="C14" i="19"/>
  <c r="E19" i="19"/>
  <c r="D19" i="19"/>
  <c r="C19" i="19"/>
  <c r="E13" i="19"/>
  <c r="D13" i="19"/>
  <c r="C13" i="19"/>
  <c r="E16" i="19"/>
  <c r="D16" i="19"/>
  <c r="C16" i="19"/>
  <c r="E18" i="19"/>
  <c r="D18" i="19"/>
  <c r="C18" i="19"/>
  <c r="E20" i="19"/>
  <c r="D20" i="19"/>
  <c r="C20" i="19"/>
  <c r="H10" i="19"/>
  <c r="A10" i="19"/>
  <c r="A6" i="19"/>
  <c r="A5" i="19"/>
  <c r="A4" i="19"/>
  <c r="A3" i="19"/>
  <c r="A2" i="19"/>
  <c r="A1" i="19"/>
  <c r="CX20" i="18"/>
  <c r="CW20" i="18"/>
  <c r="CT20" i="18"/>
  <c r="CS20" i="18"/>
  <c r="CP20" i="18"/>
  <c r="CO20" i="18"/>
  <c r="CN20" i="18"/>
  <c r="CM20" i="18"/>
  <c r="CL20" i="18"/>
  <c r="CH20" i="18"/>
  <c r="CG20" i="18"/>
  <c r="CD20" i="18"/>
  <c r="CC20" i="18"/>
  <c r="BZ20" i="18"/>
  <c r="BY20" i="18"/>
  <c r="BX20" i="18"/>
  <c r="BW20" i="18"/>
  <c r="BV20" i="18"/>
  <c r="BR20" i="18"/>
  <c r="BQ20" i="18"/>
  <c r="BN20" i="18"/>
  <c r="BM20" i="18"/>
  <c r="BJ20" i="18"/>
  <c r="BI20" i="18"/>
  <c r="BH20" i="18"/>
  <c r="BG20" i="18"/>
  <c r="BF20" i="18"/>
  <c r="BB20" i="18"/>
  <c r="BA20" i="18"/>
  <c r="AX20" i="18"/>
  <c r="AW20" i="18"/>
  <c r="AT20" i="18"/>
  <c r="AS20" i="18"/>
  <c r="AR20" i="18"/>
  <c r="AQ20" i="18"/>
  <c r="AP20" i="18"/>
  <c r="AL20" i="18"/>
  <c r="AK20" i="18"/>
  <c r="AH20" i="18"/>
  <c r="AG20" i="18"/>
  <c r="AD20" i="18"/>
  <c r="AC20" i="18"/>
  <c r="T20" i="18"/>
  <c r="S20" i="18"/>
  <c r="R20" i="18"/>
  <c r="CX19" i="18"/>
  <c r="CW19" i="18"/>
  <c r="CT19" i="18"/>
  <c r="CS19" i="18"/>
  <c r="CP19" i="18"/>
  <c r="CO19" i="18"/>
  <c r="CN19" i="18"/>
  <c r="CM19" i="18"/>
  <c r="CL19" i="18"/>
  <c r="CH19" i="18"/>
  <c r="CG19" i="18"/>
  <c r="CD19" i="18"/>
  <c r="CC19" i="18"/>
  <c r="BZ19" i="18"/>
  <c r="BY19" i="18"/>
  <c r="BX19" i="18"/>
  <c r="BW19" i="18"/>
  <c r="BV19" i="18"/>
  <c r="BR19" i="18"/>
  <c r="BQ19" i="18"/>
  <c r="BN19" i="18"/>
  <c r="BM19" i="18"/>
  <c r="BJ19" i="18"/>
  <c r="BI19" i="18"/>
  <c r="BH19" i="18"/>
  <c r="BG19" i="18"/>
  <c r="BF19" i="18"/>
  <c r="BB19" i="18"/>
  <c r="BA19" i="18"/>
  <c r="AX19" i="18"/>
  <c r="AW19" i="18"/>
  <c r="AT19" i="18"/>
  <c r="AS19" i="18"/>
  <c r="AR19" i="18"/>
  <c r="AQ19" i="18"/>
  <c r="AP19" i="18"/>
  <c r="AL19" i="18"/>
  <c r="AK19" i="18"/>
  <c r="AH19" i="18"/>
  <c r="AG19" i="18"/>
  <c r="AD19" i="18"/>
  <c r="AC19" i="18"/>
  <c r="T19" i="18"/>
  <c r="S19" i="18"/>
  <c r="R19" i="18"/>
  <c r="CX18" i="18"/>
  <c r="CW18" i="18"/>
  <c r="CT18" i="18"/>
  <c r="CS18" i="18"/>
  <c r="CP18" i="18"/>
  <c r="CO18" i="18"/>
  <c r="CN18" i="18"/>
  <c r="CM18" i="18"/>
  <c r="CL18" i="18"/>
  <c r="CH18" i="18"/>
  <c r="CG18" i="18"/>
  <c r="CD18" i="18"/>
  <c r="CC18" i="18"/>
  <c r="BZ18" i="18"/>
  <c r="BY18" i="18"/>
  <c r="BX18" i="18"/>
  <c r="BW18" i="18"/>
  <c r="BV18" i="18"/>
  <c r="BR18" i="18"/>
  <c r="BQ18" i="18"/>
  <c r="BN18" i="18"/>
  <c r="BM18" i="18"/>
  <c r="BJ18" i="18"/>
  <c r="BI18" i="18"/>
  <c r="BH18" i="18"/>
  <c r="BG18" i="18"/>
  <c r="BF18" i="18"/>
  <c r="BB18" i="18"/>
  <c r="BA18" i="18"/>
  <c r="AX18" i="18"/>
  <c r="AW18" i="18"/>
  <c r="AT18" i="18"/>
  <c r="AS18" i="18"/>
  <c r="AR18" i="18"/>
  <c r="AQ18" i="18"/>
  <c r="AP18" i="18"/>
  <c r="AL18" i="18"/>
  <c r="AK18" i="18"/>
  <c r="AH18" i="18"/>
  <c r="AG18" i="18"/>
  <c r="AD18" i="18"/>
  <c r="AC18" i="18"/>
  <c r="T18" i="18"/>
  <c r="S18" i="18"/>
  <c r="R18" i="18"/>
  <c r="CX17" i="18"/>
  <c r="CW17" i="18"/>
  <c r="CT17" i="18"/>
  <c r="CS17" i="18"/>
  <c r="CP17" i="18"/>
  <c r="CO17" i="18"/>
  <c r="CN17" i="18"/>
  <c r="CM17" i="18"/>
  <c r="CL17" i="18"/>
  <c r="CH17" i="18"/>
  <c r="CG17" i="18"/>
  <c r="CD17" i="18"/>
  <c r="CC17" i="18"/>
  <c r="BZ17" i="18"/>
  <c r="BY17" i="18"/>
  <c r="BX17" i="18"/>
  <c r="BW17" i="18"/>
  <c r="BV17" i="18"/>
  <c r="BR17" i="18"/>
  <c r="BQ17" i="18"/>
  <c r="BN17" i="18"/>
  <c r="BM17" i="18"/>
  <c r="BJ17" i="18"/>
  <c r="BI17" i="18"/>
  <c r="BH17" i="18"/>
  <c r="BG17" i="18"/>
  <c r="BF17" i="18"/>
  <c r="BB17" i="18"/>
  <c r="BA17" i="18"/>
  <c r="AX17" i="18"/>
  <c r="AW17" i="18"/>
  <c r="AT17" i="18"/>
  <c r="AS17" i="18"/>
  <c r="AR17" i="18"/>
  <c r="AQ17" i="18"/>
  <c r="AP17" i="18"/>
  <c r="AL17" i="18"/>
  <c r="AK17" i="18"/>
  <c r="AH17" i="18"/>
  <c r="AG17" i="18"/>
  <c r="AD17" i="18"/>
  <c r="AC17" i="18"/>
  <c r="T17" i="18"/>
  <c r="S17" i="18"/>
  <c r="R17" i="18"/>
  <c r="CX16" i="18"/>
  <c r="CW16" i="18"/>
  <c r="CT16" i="18"/>
  <c r="CS16" i="18"/>
  <c r="CP16" i="18"/>
  <c r="CO16" i="18"/>
  <c r="CN16" i="18"/>
  <c r="CM16" i="18"/>
  <c r="CL16" i="18"/>
  <c r="CH16" i="18"/>
  <c r="CG16" i="18"/>
  <c r="CD16" i="18"/>
  <c r="CC16" i="18"/>
  <c r="BZ16" i="18"/>
  <c r="BY16" i="18"/>
  <c r="BX16" i="18"/>
  <c r="BW16" i="18"/>
  <c r="BV16" i="18"/>
  <c r="BR16" i="18"/>
  <c r="BQ16" i="18"/>
  <c r="BN16" i="18"/>
  <c r="BM16" i="18"/>
  <c r="BJ16" i="18"/>
  <c r="BI16" i="18"/>
  <c r="BH16" i="18"/>
  <c r="BG16" i="18"/>
  <c r="BF16" i="18"/>
  <c r="BB16" i="18"/>
  <c r="BA16" i="18"/>
  <c r="AX16" i="18"/>
  <c r="AW16" i="18"/>
  <c r="AT16" i="18"/>
  <c r="AS16" i="18"/>
  <c r="AR16" i="18"/>
  <c r="AQ16" i="18"/>
  <c r="AP16" i="18"/>
  <c r="AL16" i="18"/>
  <c r="AK16" i="18"/>
  <c r="AH16" i="18"/>
  <c r="AG16" i="18"/>
  <c r="AD16" i="18"/>
  <c r="AC16" i="18"/>
  <c r="T16" i="18"/>
  <c r="S16" i="18"/>
  <c r="R16" i="18"/>
  <c r="CX15" i="18"/>
  <c r="CW15" i="18"/>
  <c r="CT15" i="18"/>
  <c r="CS15" i="18"/>
  <c r="CP15" i="18"/>
  <c r="CO15" i="18"/>
  <c r="CN15" i="18"/>
  <c r="CM15" i="18"/>
  <c r="CL15" i="18"/>
  <c r="CH15" i="18"/>
  <c r="CG15" i="18"/>
  <c r="CD15" i="18"/>
  <c r="CC15" i="18"/>
  <c r="BZ15" i="18"/>
  <c r="BY15" i="18"/>
  <c r="BX15" i="18"/>
  <c r="BW15" i="18"/>
  <c r="BV15" i="18"/>
  <c r="BR15" i="18"/>
  <c r="BQ15" i="18"/>
  <c r="BN15" i="18"/>
  <c r="BM15" i="18"/>
  <c r="BJ15" i="18"/>
  <c r="BI15" i="18"/>
  <c r="BH15" i="18"/>
  <c r="BG15" i="18"/>
  <c r="BF15" i="18"/>
  <c r="BB15" i="18"/>
  <c r="BA15" i="18"/>
  <c r="AX15" i="18"/>
  <c r="AW15" i="18"/>
  <c r="AT15" i="18"/>
  <c r="AS15" i="18"/>
  <c r="AR15" i="18"/>
  <c r="AQ15" i="18"/>
  <c r="AP15" i="18"/>
  <c r="AL15" i="18"/>
  <c r="AK15" i="18"/>
  <c r="AH15" i="18"/>
  <c r="AG15" i="18"/>
  <c r="AD15" i="18"/>
  <c r="AC15" i="18"/>
  <c r="T15" i="18"/>
  <c r="S15" i="18"/>
  <c r="R15" i="18"/>
  <c r="CX14" i="18"/>
  <c r="CW14" i="18"/>
  <c r="CT14" i="18"/>
  <c r="CS14" i="18"/>
  <c r="CP14" i="18"/>
  <c r="CO14" i="18"/>
  <c r="CN14" i="18"/>
  <c r="CM14" i="18"/>
  <c r="CL14" i="18"/>
  <c r="CH14" i="18"/>
  <c r="CG14" i="18"/>
  <c r="CD14" i="18"/>
  <c r="CC14" i="18"/>
  <c r="BZ14" i="18"/>
  <c r="BY14" i="18"/>
  <c r="BX14" i="18"/>
  <c r="BW14" i="18"/>
  <c r="BV14" i="18"/>
  <c r="BR14" i="18"/>
  <c r="BQ14" i="18"/>
  <c r="BN14" i="18"/>
  <c r="BM14" i="18"/>
  <c r="BJ14" i="18"/>
  <c r="BI14" i="18"/>
  <c r="BH14" i="18"/>
  <c r="BG14" i="18"/>
  <c r="BF14" i="18"/>
  <c r="BB14" i="18"/>
  <c r="BA14" i="18"/>
  <c r="AX14" i="18"/>
  <c r="AW14" i="18"/>
  <c r="AT14" i="18"/>
  <c r="AS14" i="18"/>
  <c r="AR14" i="18"/>
  <c r="AQ14" i="18"/>
  <c r="AP14" i="18"/>
  <c r="AL14" i="18"/>
  <c r="AK14" i="18"/>
  <c r="AH14" i="18"/>
  <c r="AG14" i="18"/>
  <c r="AD14" i="18"/>
  <c r="AC14" i="18"/>
  <c r="T14" i="18"/>
  <c r="S14" i="18"/>
  <c r="R14" i="18"/>
  <c r="CX13" i="18"/>
  <c r="CW13" i="18"/>
  <c r="CT13" i="18"/>
  <c r="CS13" i="18"/>
  <c r="CP13" i="18"/>
  <c r="CO13" i="18"/>
  <c r="CN13" i="18"/>
  <c r="CM13" i="18"/>
  <c r="CL13" i="18"/>
  <c r="CH13" i="18"/>
  <c r="CG13" i="18"/>
  <c r="CD13" i="18"/>
  <c r="CC13" i="18"/>
  <c r="BZ13" i="18"/>
  <c r="BY13" i="18"/>
  <c r="BX13" i="18"/>
  <c r="BW13" i="18"/>
  <c r="BV13" i="18"/>
  <c r="BR13" i="18"/>
  <c r="BQ13" i="18"/>
  <c r="BN13" i="18"/>
  <c r="BM13" i="18"/>
  <c r="BJ13" i="18"/>
  <c r="BI13" i="18"/>
  <c r="BH13" i="18"/>
  <c r="BG13" i="18"/>
  <c r="BF13" i="18"/>
  <c r="BB13" i="18"/>
  <c r="BA13" i="18"/>
  <c r="AX13" i="18"/>
  <c r="AW13" i="18"/>
  <c r="AT13" i="18"/>
  <c r="AS13" i="18"/>
  <c r="AR13" i="18"/>
  <c r="AQ13" i="18"/>
  <c r="AP13" i="18"/>
  <c r="AL13" i="18"/>
  <c r="AK13" i="18"/>
  <c r="AH13" i="18"/>
  <c r="AG13" i="18"/>
  <c r="AD13" i="18"/>
  <c r="AC13" i="18"/>
  <c r="T13" i="18"/>
  <c r="S13" i="18"/>
  <c r="R13" i="18"/>
  <c r="CX11" i="18"/>
  <c r="CT11" i="18"/>
  <c r="CP11" i="18"/>
  <c r="CH11" i="18"/>
  <c r="CD11" i="18"/>
  <c r="BZ11" i="18"/>
  <c r="BR11" i="18"/>
  <c r="BN11" i="18"/>
  <c r="BJ11" i="18"/>
  <c r="BB11" i="18"/>
  <c r="AX11" i="18"/>
  <c r="AT11" i="18"/>
  <c r="AL11" i="18"/>
  <c r="AH11" i="18"/>
  <c r="AD11" i="18"/>
  <c r="F11" i="18"/>
  <c r="Q8" i="18"/>
  <c r="A8" i="18"/>
  <c r="Q7" i="18"/>
  <c r="A7" i="18"/>
  <c r="Q6" i="18"/>
  <c r="A6" i="18"/>
  <c r="Q5" i="18"/>
  <c r="A5" i="18"/>
  <c r="Q4" i="18"/>
  <c r="A4" i="18"/>
  <c r="Q3" i="18"/>
  <c r="A3" i="18"/>
  <c r="Q2" i="18"/>
  <c r="A2" i="18"/>
  <c r="Q1" i="18"/>
  <c r="A1" i="18"/>
  <c r="A2" i="6" l="1"/>
  <c r="A3" i="6"/>
  <c r="A4" i="6"/>
  <c r="A5" i="6"/>
  <c r="A6" i="6"/>
  <c r="A7" i="6"/>
  <c r="A8" i="6"/>
  <c r="A1" i="6"/>
  <c r="Q1" i="6"/>
  <c r="F11" i="6"/>
  <c r="CD14" i="6" l="1"/>
  <c r="CE14" i="6"/>
  <c r="CF14" i="6"/>
  <c r="CG14" i="6"/>
  <c r="CH14" i="6"/>
  <c r="CK14" i="6"/>
  <c r="CL14" i="6"/>
  <c r="CO14" i="6"/>
  <c r="CP14" i="6"/>
  <c r="CD15" i="6"/>
  <c r="CE15" i="6"/>
  <c r="CF15" i="6"/>
  <c r="CG15" i="6"/>
  <c r="CH15" i="6"/>
  <c r="CK15" i="6"/>
  <c r="CL15" i="6"/>
  <c r="CO15" i="6"/>
  <c r="CP15" i="6"/>
  <c r="CD16" i="6"/>
  <c r="CE16" i="6"/>
  <c r="CF16" i="6"/>
  <c r="CG16" i="6"/>
  <c r="CH16" i="6"/>
  <c r="CK16" i="6"/>
  <c r="CL16" i="6"/>
  <c r="CO16" i="6"/>
  <c r="CP16" i="6"/>
  <c r="CD17" i="6"/>
  <c r="CE17" i="6"/>
  <c r="CF17" i="6"/>
  <c r="CG17" i="6"/>
  <c r="CH17" i="6"/>
  <c r="CK17" i="6"/>
  <c r="CL17" i="6"/>
  <c r="CO17" i="6"/>
  <c r="CP17" i="6"/>
  <c r="CD18" i="6"/>
  <c r="CE18" i="6"/>
  <c r="CF18" i="6"/>
  <c r="CG18" i="6"/>
  <c r="CH18" i="6"/>
  <c r="CK18" i="6"/>
  <c r="CL18" i="6"/>
  <c r="CO18" i="6"/>
  <c r="CP18" i="6"/>
  <c r="CD19" i="6"/>
  <c r="CE19" i="6"/>
  <c r="CF19" i="6"/>
  <c r="CG19" i="6"/>
  <c r="CH19" i="6"/>
  <c r="CK19" i="6"/>
  <c r="CL19" i="6"/>
  <c r="CO19" i="6"/>
  <c r="CP19" i="6"/>
  <c r="CD20" i="6"/>
  <c r="CE20" i="6"/>
  <c r="CF20" i="6"/>
  <c r="CG20" i="6"/>
  <c r="CH20" i="6"/>
  <c r="CK20" i="6"/>
  <c r="CL20" i="6"/>
  <c r="CO20" i="6"/>
  <c r="CP20" i="6"/>
  <c r="CD21" i="6"/>
  <c r="CE21" i="6"/>
  <c r="CF21" i="6"/>
  <c r="CG21" i="6"/>
  <c r="CH21" i="6"/>
  <c r="CK21" i="6"/>
  <c r="CL21" i="6"/>
  <c r="CO21" i="6"/>
  <c r="CP21" i="6"/>
  <c r="CD22" i="6"/>
  <c r="CE22" i="6"/>
  <c r="CF22" i="6"/>
  <c r="CG22" i="6"/>
  <c r="CH22" i="6"/>
  <c r="CK22" i="6"/>
  <c r="CL22" i="6"/>
  <c r="CO22" i="6"/>
  <c r="CP22" i="6"/>
  <c r="CD23" i="6"/>
  <c r="CE23" i="6"/>
  <c r="CF23" i="6"/>
  <c r="CG23" i="6"/>
  <c r="CH23" i="6"/>
  <c r="CK23" i="6"/>
  <c r="CL23" i="6"/>
  <c r="CO23" i="6"/>
  <c r="CP23" i="6"/>
  <c r="CD24" i="6"/>
  <c r="CE24" i="6"/>
  <c r="CF24" i="6"/>
  <c r="CG24" i="6"/>
  <c r="CH24" i="6"/>
  <c r="CK24" i="6"/>
  <c r="CL24" i="6"/>
  <c r="CO24" i="6"/>
  <c r="CP24" i="6"/>
  <c r="CD25" i="6"/>
  <c r="CE25" i="6"/>
  <c r="CF25" i="6"/>
  <c r="CG25" i="6"/>
  <c r="CH25" i="6"/>
  <c r="CK25" i="6"/>
  <c r="CL25" i="6"/>
  <c r="CO25" i="6"/>
  <c r="CP25" i="6"/>
  <c r="CD26" i="6"/>
  <c r="CE26" i="6"/>
  <c r="CF26" i="6"/>
  <c r="CG26" i="6"/>
  <c r="CH26" i="6"/>
  <c r="CK26" i="6"/>
  <c r="CL26" i="6"/>
  <c r="CO26" i="6"/>
  <c r="CP26" i="6"/>
  <c r="CD27" i="6"/>
  <c r="CE27" i="6"/>
  <c r="CF27" i="6"/>
  <c r="CG27" i="6"/>
  <c r="CH27" i="6"/>
  <c r="CK27" i="6"/>
  <c r="CL27" i="6"/>
  <c r="CO27" i="6"/>
  <c r="CP27" i="6"/>
  <c r="CP13" i="6"/>
  <c r="CO13" i="6"/>
  <c r="CL13" i="6"/>
  <c r="CK13" i="6"/>
  <c r="CH13" i="6"/>
  <c r="CG13" i="6"/>
  <c r="CF13" i="6"/>
  <c r="CE13" i="6"/>
  <c r="CD13" i="6"/>
  <c r="BN14" i="6"/>
  <c r="BO14" i="6"/>
  <c r="BP14" i="6"/>
  <c r="BQ14" i="6"/>
  <c r="BR14" i="6"/>
  <c r="BU14" i="6"/>
  <c r="BV14" i="6"/>
  <c r="BY14" i="6"/>
  <c r="BZ14" i="6"/>
  <c r="BN15" i="6"/>
  <c r="BO15" i="6"/>
  <c r="BP15" i="6"/>
  <c r="BQ15" i="6"/>
  <c r="BR15" i="6"/>
  <c r="BU15" i="6"/>
  <c r="BV15" i="6"/>
  <c r="BY15" i="6"/>
  <c r="BZ15" i="6"/>
  <c r="BN16" i="6"/>
  <c r="BO16" i="6"/>
  <c r="BP16" i="6"/>
  <c r="BQ16" i="6"/>
  <c r="BR16" i="6"/>
  <c r="BU16" i="6"/>
  <c r="BV16" i="6"/>
  <c r="BY16" i="6"/>
  <c r="BZ16" i="6"/>
  <c r="BN17" i="6"/>
  <c r="BO17" i="6"/>
  <c r="BP17" i="6"/>
  <c r="BQ17" i="6"/>
  <c r="BR17" i="6"/>
  <c r="BU17" i="6"/>
  <c r="BV17" i="6"/>
  <c r="BY17" i="6"/>
  <c r="BZ17" i="6"/>
  <c r="BN18" i="6"/>
  <c r="BO18" i="6"/>
  <c r="BP18" i="6"/>
  <c r="BQ18" i="6"/>
  <c r="BR18" i="6"/>
  <c r="BU18" i="6"/>
  <c r="BV18" i="6"/>
  <c r="BY18" i="6"/>
  <c r="BZ18" i="6"/>
  <c r="BN19" i="6"/>
  <c r="BO19" i="6"/>
  <c r="BP19" i="6"/>
  <c r="BQ19" i="6"/>
  <c r="BR19" i="6"/>
  <c r="BU19" i="6"/>
  <c r="BV19" i="6"/>
  <c r="BY19" i="6"/>
  <c r="BZ19" i="6"/>
  <c r="BN20" i="6"/>
  <c r="BO20" i="6"/>
  <c r="BP20" i="6"/>
  <c r="BQ20" i="6"/>
  <c r="BR20" i="6"/>
  <c r="BU20" i="6"/>
  <c r="BV20" i="6"/>
  <c r="BY20" i="6"/>
  <c r="BZ20" i="6"/>
  <c r="BN21" i="6"/>
  <c r="BO21" i="6"/>
  <c r="BP21" i="6"/>
  <c r="BQ21" i="6"/>
  <c r="BR21" i="6"/>
  <c r="BU21" i="6"/>
  <c r="BV21" i="6"/>
  <c r="BY21" i="6"/>
  <c r="BZ21" i="6"/>
  <c r="BN22" i="6"/>
  <c r="BO22" i="6"/>
  <c r="BP22" i="6"/>
  <c r="BQ22" i="6"/>
  <c r="BR22" i="6"/>
  <c r="BU22" i="6"/>
  <c r="BV22" i="6"/>
  <c r="BY22" i="6"/>
  <c r="BZ22" i="6"/>
  <c r="BN23" i="6"/>
  <c r="BO23" i="6"/>
  <c r="BP23" i="6"/>
  <c r="BQ23" i="6"/>
  <c r="BR23" i="6"/>
  <c r="BU23" i="6"/>
  <c r="BV23" i="6"/>
  <c r="BY23" i="6"/>
  <c r="BZ23" i="6"/>
  <c r="BN24" i="6"/>
  <c r="BO24" i="6"/>
  <c r="BP24" i="6"/>
  <c r="BQ24" i="6"/>
  <c r="BR24" i="6"/>
  <c r="BU24" i="6"/>
  <c r="BV24" i="6"/>
  <c r="BY24" i="6"/>
  <c r="BZ24" i="6"/>
  <c r="BN25" i="6"/>
  <c r="BO25" i="6"/>
  <c r="BP25" i="6"/>
  <c r="BQ25" i="6"/>
  <c r="BR25" i="6"/>
  <c r="BU25" i="6"/>
  <c r="BV25" i="6"/>
  <c r="BY25" i="6"/>
  <c r="BZ25" i="6"/>
  <c r="BN26" i="6"/>
  <c r="BO26" i="6"/>
  <c r="BP26" i="6"/>
  <c r="BQ26" i="6"/>
  <c r="BR26" i="6"/>
  <c r="BU26" i="6"/>
  <c r="BV26" i="6"/>
  <c r="BY26" i="6"/>
  <c r="BZ26" i="6"/>
  <c r="BN27" i="6"/>
  <c r="BO27" i="6"/>
  <c r="BP27" i="6"/>
  <c r="BQ27" i="6"/>
  <c r="BR27" i="6"/>
  <c r="BU27" i="6"/>
  <c r="BV27" i="6"/>
  <c r="BY27" i="6"/>
  <c r="BZ27" i="6"/>
  <c r="BZ13" i="6"/>
  <c r="BY13" i="6"/>
  <c r="BV13" i="6"/>
  <c r="BU13" i="6"/>
  <c r="BR13" i="6"/>
  <c r="BQ13" i="6"/>
  <c r="BP13" i="6"/>
  <c r="BO13" i="6"/>
  <c r="BN13" i="6"/>
  <c r="AX14" i="6"/>
  <c r="AY14" i="6"/>
  <c r="AZ14" i="6"/>
  <c r="BA14" i="6"/>
  <c r="BB14" i="6"/>
  <c r="BE14" i="6"/>
  <c r="BF14" i="6"/>
  <c r="BI14" i="6"/>
  <c r="BJ14" i="6"/>
  <c r="AX15" i="6"/>
  <c r="AY15" i="6"/>
  <c r="AZ15" i="6"/>
  <c r="BA15" i="6"/>
  <c r="BB15" i="6"/>
  <c r="BE15" i="6"/>
  <c r="BF15" i="6"/>
  <c r="BI15" i="6"/>
  <c r="BJ15" i="6"/>
  <c r="AX16" i="6"/>
  <c r="AY16" i="6"/>
  <c r="AZ16" i="6"/>
  <c r="BA16" i="6"/>
  <c r="BB16" i="6"/>
  <c r="BE16" i="6"/>
  <c r="BF16" i="6"/>
  <c r="BI16" i="6"/>
  <c r="BJ16" i="6"/>
  <c r="AX17" i="6"/>
  <c r="AY17" i="6"/>
  <c r="AZ17" i="6"/>
  <c r="BA17" i="6"/>
  <c r="BB17" i="6"/>
  <c r="BE17" i="6"/>
  <c r="BF17" i="6"/>
  <c r="BI17" i="6"/>
  <c r="BJ17" i="6"/>
  <c r="AX18" i="6"/>
  <c r="AY18" i="6"/>
  <c r="AZ18" i="6"/>
  <c r="BA18" i="6"/>
  <c r="BB18" i="6"/>
  <c r="BE18" i="6"/>
  <c r="BF18" i="6"/>
  <c r="BI18" i="6"/>
  <c r="BJ18" i="6"/>
  <c r="AX19" i="6"/>
  <c r="AY19" i="6"/>
  <c r="AZ19" i="6"/>
  <c r="BA19" i="6"/>
  <c r="BB19" i="6"/>
  <c r="BE19" i="6"/>
  <c r="BF19" i="6"/>
  <c r="BI19" i="6"/>
  <c r="BJ19" i="6"/>
  <c r="AX20" i="6"/>
  <c r="AY20" i="6"/>
  <c r="AZ20" i="6"/>
  <c r="BA20" i="6"/>
  <c r="BB20" i="6"/>
  <c r="BE20" i="6"/>
  <c r="BF20" i="6"/>
  <c r="BI20" i="6"/>
  <c r="BJ20" i="6"/>
  <c r="AX21" i="6"/>
  <c r="AY21" i="6"/>
  <c r="AZ21" i="6"/>
  <c r="BA21" i="6"/>
  <c r="BB21" i="6"/>
  <c r="BE21" i="6"/>
  <c r="BF21" i="6"/>
  <c r="BI21" i="6"/>
  <c r="BJ21" i="6"/>
  <c r="AX22" i="6"/>
  <c r="AY22" i="6"/>
  <c r="AZ22" i="6"/>
  <c r="BA22" i="6"/>
  <c r="BB22" i="6"/>
  <c r="BE22" i="6"/>
  <c r="BF22" i="6"/>
  <c r="BI22" i="6"/>
  <c r="BJ22" i="6"/>
  <c r="AX23" i="6"/>
  <c r="AY23" i="6"/>
  <c r="AZ23" i="6"/>
  <c r="BA23" i="6"/>
  <c r="BB23" i="6"/>
  <c r="BE23" i="6"/>
  <c r="BF23" i="6"/>
  <c r="BI23" i="6"/>
  <c r="BJ23" i="6"/>
  <c r="AX24" i="6"/>
  <c r="AY24" i="6"/>
  <c r="AZ24" i="6"/>
  <c r="BA24" i="6"/>
  <c r="BB24" i="6"/>
  <c r="BE24" i="6"/>
  <c r="BF24" i="6"/>
  <c r="BI24" i="6"/>
  <c r="BJ24" i="6"/>
  <c r="AX25" i="6"/>
  <c r="AY25" i="6"/>
  <c r="AZ25" i="6"/>
  <c r="BA25" i="6"/>
  <c r="BB25" i="6"/>
  <c r="BE25" i="6"/>
  <c r="BF25" i="6"/>
  <c r="BI25" i="6"/>
  <c r="BJ25" i="6"/>
  <c r="AX26" i="6"/>
  <c r="AY26" i="6"/>
  <c r="AZ26" i="6"/>
  <c r="BA26" i="6"/>
  <c r="BB26" i="6"/>
  <c r="BE26" i="6"/>
  <c r="BF26" i="6"/>
  <c r="BI26" i="6"/>
  <c r="BJ26" i="6"/>
  <c r="AX27" i="6"/>
  <c r="AY27" i="6"/>
  <c r="AZ27" i="6"/>
  <c r="BA27" i="6"/>
  <c r="BB27" i="6"/>
  <c r="BE27" i="6"/>
  <c r="BF27" i="6"/>
  <c r="BI27" i="6"/>
  <c r="BJ27" i="6"/>
  <c r="BJ13" i="6"/>
  <c r="BI13" i="6"/>
  <c r="BF13" i="6"/>
  <c r="BE13" i="6"/>
  <c r="BB13" i="6"/>
  <c r="BA13" i="6"/>
  <c r="AZ13" i="6"/>
  <c r="AY13" i="6"/>
  <c r="AX13" i="6"/>
  <c r="AH14" i="6"/>
  <c r="AI14" i="6"/>
  <c r="AJ14" i="6"/>
  <c r="AK14" i="6"/>
  <c r="AL14" i="6"/>
  <c r="AO14" i="6"/>
  <c r="AP14" i="6"/>
  <c r="AS14" i="6"/>
  <c r="AT14" i="6"/>
  <c r="AH15" i="6"/>
  <c r="AI15" i="6"/>
  <c r="AJ15" i="6"/>
  <c r="AK15" i="6"/>
  <c r="AL15" i="6"/>
  <c r="AO15" i="6"/>
  <c r="AP15" i="6"/>
  <c r="AS15" i="6"/>
  <c r="AT15" i="6"/>
  <c r="AH16" i="6"/>
  <c r="AI16" i="6"/>
  <c r="AJ16" i="6"/>
  <c r="AK16" i="6"/>
  <c r="AL16" i="6"/>
  <c r="AO16" i="6"/>
  <c r="AP16" i="6"/>
  <c r="AS16" i="6"/>
  <c r="AT16" i="6"/>
  <c r="AH17" i="6"/>
  <c r="AI17" i="6"/>
  <c r="AJ17" i="6"/>
  <c r="AK17" i="6"/>
  <c r="AL17" i="6"/>
  <c r="AO17" i="6"/>
  <c r="AP17" i="6"/>
  <c r="AS17" i="6"/>
  <c r="AT17" i="6"/>
  <c r="AH18" i="6"/>
  <c r="AI18" i="6"/>
  <c r="AJ18" i="6"/>
  <c r="AK18" i="6"/>
  <c r="AL18" i="6"/>
  <c r="AO18" i="6"/>
  <c r="AP18" i="6"/>
  <c r="AS18" i="6"/>
  <c r="AT18" i="6"/>
  <c r="AH19" i="6"/>
  <c r="AI19" i="6"/>
  <c r="AJ19" i="6"/>
  <c r="AK19" i="6"/>
  <c r="AL19" i="6"/>
  <c r="AO19" i="6"/>
  <c r="AP19" i="6"/>
  <c r="AS19" i="6"/>
  <c r="AT19" i="6"/>
  <c r="AH20" i="6"/>
  <c r="AI20" i="6"/>
  <c r="AJ20" i="6"/>
  <c r="AK20" i="6"/>
  <c r="AL20" i="6"/>
  <c r="AO20" i="6"/>
  <c r="AP20" i="6"/>
  <c r="AS20" i="6"/>
  <c r="AT20" i="6"/>
  <c r="AH21" i="6"/>
  <c r="AI21" i="6"/>
  <c r="AJ21" i="6"/>
  <c r="AK21" i="6"/>
  <c r="AL21" i="6"/>
  <c r="AO21" i="6"/>
  <c r="AP21" i="6"/>
  <c r="AS21" i="6"/>
  <c r="AT21" i="6"/>
  <c r="AH22" i="6"/>
  <c r="AI22" i="6"/>
  <c r="AJ22" i="6"/>
  <c r="AK22" i="6"/>
  <c r="AL22" i="6"/>
  <c r="AO22" i="6"/>
  <c r="AP22" i="6"/>
  <c r="AS22" i="6"/>
  <c r="AT22" i="6"/>
  <c r="AH23" i="6"/>
  <c r="AI23" i="6"/>
  <c r="AJ23" i="6"/>
  <c r="AK23" i="6"/>
  <c r="AL23" i="6"/>
  <c r="AO23" i="6"/>
  <c r="AP23" i="6"/>
  <c r="AS23" i="6"/>
  <c r="AT23" i="6"/>
  <c r="AH24" i="6"/>
  <c r="AI24" i="6"/>
  <c r="AJ24" i="6"/>
  <c r="AK24" i="6"/>
  <c r="AL24" i="6"/>
  <c r="AO24" i="6"/>
  <c r="AP24" i="6"/>
  <c r="AS24" i="6"/>
  <c r="AT24" i="6"/>
  <c r="AH25" i="6"/>
  <c r="AI25" i="6"/>
  <c r="AJ25" i="6"/>
  <c r="AK25" i="6"/>
  <c r="AL25" i="6"/>
  <c r="AO25" i="6"/>
  <c r="AP25" i="6"/>
  <c r="AS25" i="6"/>
  <c r="AT25" i="6"/>
  <c r="AH26" i="6"/>
  <c r="AI26" i="6"/>
  <c r="AJ26" i="6"/>
  <c r="AK26" i="6"/>
  <c r="AL26" i="6"/>
  <c r="AO26" i="6"/>
  <c r="AP26" i="6"/>
  <c r="AS26" i="6"/>
  <c r="AT26" i="6"/>
  <c r="AH27" i="6"/>
  <c r="AI27" i="6"/>
  <c r="AJ27" i="6"/>
  <c r="AK27" i="6"/>
  <c r="AL27" i="6"/>
  <c r="AO27" i="6"/>
  <c r="AP27" i="6"/>
  <c r="AS27" i="6"/>
  <c r="AT27" i="6"/>
  <c r="AT13" i="6"/>
  <c r="AS13" i="6"/>
  <c r="AP13" i="6"/>
  <c r="AO13" i="6"/>
  <c r="AL13" i="6"/>
  <c r="AK13" i="6"/>
  <c r="AJ13" i="6"/>
  <c r="AI13" i="6"/>
  <c r="U14" i="6"/>
  <c r="V14" i="6"/>
  <c r="Y14" i="6"/>
  <c r="Z14" i="6"/>
  <c r="AC14" i="6"/>
  <c r="AD14" i="6"/>
  <c r="U15" i="6"/>
  <c r="V15" i="6"/>
  <c r="Y15" i="6"/>
  <c r="Z15" i="6"/>
  <c r="AC15" i="6"/>
  <c r="AD15" i="6"/>
  <c r="U16" i="6"/>
  <c r="V16" i="6"/>
  <c r="Y16" i="6"/>
  <c r="Z16" i="6"/>
  <c r="AC16" i="6"/>
  <c r="AD16" i="6"/>
  <c r="U17" i="6"/>
  <c r="V17" i="6"/>
  <c r="Y17" i="6"/>
  <c r="Z17" i="6"/>
  <c r="AC17" i="6"/>
  <c r="AD17" i="6"/>
  <c r="U18" i="6"/>
  <c r="V18" i="6"/>
  <c r="Y18" i="6"/>
  <c r="Z18" i="6"/>
  <c r="AC18" i="6"/>
  <c r="AD18" i="6"/>
  <c r="U19" i="6"/>
  <c r="V19" i="6"/>
  <c r="Y19" i="6"/>
  <c r="Z19" i="6"/>
  <c r="AC19" i="6"/>
  <c r="AD19" i="6"/>
  <c r="U20" i="6"/>
  <c r="V20" i="6"/>
  <c r="Y20" i="6"/>
  <c r="Z20" i="6"/>
  <c r="AC20" i="6"/>
  <c r="AD20" i="6"/>
  <c r="U21" i="6"/>
  <c r="V21" i="6"/>
  <c r="Y21" i="6"/>
  <c r="Z21" i="6"/>
  <c r="AC21" i="6"/>
  <c r="AD21" i="6"/>
  <c r="U22" i="6"/>
  <c r="V22" i="6"/>
  <c r="Y22" i="6"/>
  <c r="Z22" i="6"/>
  <c r="AC22" i="6"/>
  <c r="AD22" i="6"/>
  <c r="U23" i="6"/>
  <c r="V23" i="6"/>
  <c r="Y23" i="6"/>
  <c r="Z23" i="6"/>
  <c r="AC23" i="6"/>
  <c r="AD23" i="6"/>
  <c r="U24" i="6"/>
  <c r="V24" i="6"/>
  <c r="Y24" i="6"/>
  <c r="Z24" i="6"/>
  <c r="AC24" i="6"/>
  <c r="AD24" i="6"/>
  <c r="U25" i="6"/>
  <c r="V25" i="6"/>
  <c r="Y25" i="6"/>
  <c r="Z25" i="6"/>
  <c r="AC25" i="6"/>
  <c r="AD25" i="6"/>
  <c r="U26" i="6"/>
  <c r="V26" i="6"/>
  <c r="Y26" i="6"/>
  <c r="Z26" i="6"/>
  <c r="AC26" i="6"/>
  <c r="AD26" i="6"/>
  <c r="U27" i="6"/>
  <c r="V27" i="6"/>
  <c r="Y27" i="6"/>
  <c r="Z27" i="6"/>
  <c r="AC27" i="6"/>
  <c r="AD27" i="6"/>
  <c r="AD13" i="6"/>
  <c r="AC13" i="6"/>
  <c r="Z13" i="6"/>
  <c r="Y13" i="6"/>
  <c r="CC8" i="6"/>
  <c r="CC7" i="6"/>
  <c r="CC6" i="6"/>
  <c r="CC5" i="6"/>
  <c r="CC4" i="6"/>
  <c r="CC3" i="6"/>
  <c r="CC2" i="6"/>
  <c r="CC1" i="6"/>
  <c r="BM8" i="6"/>
  <c r="BM7" i="6"/>
  <c r="BM6" i="6"/>
  <c r="BM5" i="6"/>
  <c r="BM4" i="6"/>
  <c r="BM3" i="6"/>
  <c r="BM2" i="6"/>
  <c r="BM1" i="6"/>
  <c r="AG8" i="6"/>
  <c r="AG7" i="6"/>
  <c r="AG6" i="6"/>
  <c r="AG5" i="6"/>
  <c r="AG4" i="6"/>
  <c r="AG3" i="6"/>
  <c r="AG2" i="6"/>
  <c r="AG1" i="6"/>
  <c r="AT11" i="6"/>
  <c r="AP11" i="6"/>
  <c r="AL11" i="6"/>
  <c r="BJ11" i="6"/>
  <c r="BF11" i="6"/>
  <c r="BB11" i="6"/>
  <c r="AW8" i="6"/>
  <c r="AW7" i="6"/>
  <c r="AW6" i="6"/>
  <c r="AW5" i="6"/>
  <c r="AW4" i="6"/>
  <c r="AW3" i="6"/>
  <c r="AW2" i="6"/>
  <c r="AW1" i="6"/>
  <c r="CP11" i="6"/>
  <c r="CL11" i="6"/>
  <c r="CH11" i="6"/>
  <c r="BZ11" i="6"/>
  <c r="BV11" i="6"/>
  <c r="BR11" i="6"/>
  <c r="V13" i="6"/>
  <c r="U13" i="6"/>
  <c r="BR40" i="1"/>
  <c r="CW40" i="1" s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DM40" i="1" s="1"/>
  <c r="CI40" i="1"/>
  <c r="DN40" i="1" s="1"/>
  <c r="CJ40" i="1"/>
  <c r="DO40" i="1" s="1"/>
  <c r="CK40" i="1"/>
  <c r="DP40" i="1" s="1"/>
  <c r="CL40" i="1"/>
  <c r="DQ40" i="1" s="1"/>
  <c r="CM40" i="1"/>
  <c r="DR40" i="1" s="1"/>
  <c r="CN40" i="1"/>
  <c r="DS40" i="1" s="1"/>
  <c r="CO40" i="1"/>
  <c r="DT40" i="1" s="1"/>
  <c r="CP40" i="1"/>
  <c r="DU40" i="1" s="1"/>
  <c r="CQ40" i="1"/>
  <c r="DV40" i="1" s="1"/>
  <c r="CR40" i="1"/>
  <c r="DW40" i="1" s="1"/>
  <c r="CS40" i="1"/>
  <c r="DX40" i="1" s="1"/>
  <c r="CT40" i="1"/>
  <c r="DY40" i="1" s="1"/>
  <c r="CU40" i="1"/>
  <c r="DZ40" i="1" s="1"/>
  <c r="CV40" i="1"/>
  <c r="EA40" i="1" s="1"/>
  <c r="BR41" i="1"/>
  <c r="CW41" i="1" s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DM41" i="1" s="1"/>
  <c r="CI41" i="1"/>
  <c r="DN41" i="1" s="1"/>
  <c r="CJ41" i="1"/>
  <c r="DO41" i="1" s="1"/>
  <c r="CK41" i="1"/>
  <c r="DP41" i="1" s="1"/>
  <c r="CL41" i="1"/>
  <c r="DQ41" i="1" s="1"/>
  <c r="CM41" i="1"/>
  <c r="DR41" i="1" s="1"/>
  <c r="CN41" i="1"/>
  <c r="DS41" i="1" s="1"/>
  <c r="CO41" i="1"/>
  <c r="DT41" i="1" s="1"/>
  <c r="CP41" i="1"/>
  <c r="DU41" i="1" s="1"/>
  <c r="CQ41" i="1"/>
  <c r="DV41" i="1" s="1"/>
  <c r="CR41" i="1"/>
  <c r="DW41" i="1" s="1"/>
  <c r="CS41" i="1"/>
  <c r="DX41" i="1" s="1"/>
  <c r="CT41" i="1"/>
  <c r="DY41" i="1" s="1"/>
  <c r="CU41" i="1"/>
  <c r="DZ41" i="1" s="1"/>
  <c r="CV41" i="1"/>
  <c r="EA41" i="1" s="1"/>
  <c r="BR42" i="1"/>
  <c r="CW42" i="1" s="1"/>
  <c r="BS42" i="1"/>
  <c r="BT42" i="1"/>
  <c r="BU42" i="1"/>
  <c r="BV42" i="1"/>
  <c r="BW42" i="1"/>
  <c r="BX42" i="1"/>
  <c r="BY42" i="1"/>
  <c r="BZ42" i="1"/>
  <c r="CA42" i="1"/>
  <c r="CB42" i="1"/>
  <c r="CC42" i="1"/>
  <c r="BW15" i="26" s="1"/>
  <c r="CD42" i="1"/>
  <c r="CE42" i="1"/>
  <c r="CF42" i="1"/>
  <c r="CG42" i="1"/>
  <c r="CH42" i="1"/>
  <c r="DM42" i="1" s="1"/>
  <c r="CI42" i="1"/>
  <c r="DN42" i="1" s="1"/>
  <c r="CJ42" i="1"/>
  <c r="DO42" i="1" s="1"/>
  <c r="CK42" i="1"/>
  <c r="DP42" i="1" s="1"/>
  <c r="CL42" i="1"/>
  <c r="DQ42" i="1" s="1"/>
  <c r="CM42" i="1"/>
  <c r="DR42" i="1" s="1"/>
  <c r="CN42" i="1"/>
  <c r="DS42" i="1" s="1"/>
  <c r="CO42" i="1"/>
  <c r="DT42" i="1" s="1"/>
  <c r="CP42" i="1"/>
  <c r="DU42" i="1" s="1"/>
  <c r="CQ42" i="1"/>
  <c r="DV42" i="1" s="1"/>
  <c r="CR42" i="1"/>
  <c r="DW42" i="1" s="1"/>
  <c r="CS42" i="1"/>
  <c r="DX42" i="1" s="1"/>
  <c r="CT42" i="1"/>
  <c r="DY42" i="1" s="1"/>
  <c r="CU42" i="1"/>
  <c r="DZ42" i="1" s="1"/>
  <c r="CV42" i="1"/>
  <c r="EA42" i="1" s="1"/>
  <c r="BR43" i="1"/>
  <c r="CW43" i="1" s="1"/>
  <c r="BS43" i="1"/>
  <c r="BT43" i="1"/>
  <c r="BU43" i="1"/>
  <c r="BV43" i="1"/>
  <c r="BW43" i="1"/>
  <c r="BX43" i="1"/>
  <c r="BY43" i="1"/>
  <c r="BZ43" i="1"/>
  <c r="BG16" i="26" s="1"/>
  <c r="CA43" i="1"/>
  <c r="CB43" i="1"/>
  <c r="CC43" i="1"/>
  <c r="CD43" i="1"/>
  <c r="CE43" i="1"/>
  <c r="CF43" i="1"/>
  <c r="CG43" i="1"/>
  <c r="CH43" i="1"/>
  <c r="DM43" i="1" s="1"/>
  <c r="CI43" i="1"/>
  <c r="DN43" i="1" s="1"/>
  <c r="CJ43" i="1"/>
  <c r="DO43" i="1" s="1"/>
  <c r="CK43" i="1"/>
  <c r="DP43" i="1" s="1"/>
  <c r="CL43" i="1"/>
  <c r="DQ43" i="1" s="1"/>
  <c r="CM43" i="1"/>
  <c r="DR43" i="1" s="1"/>
  <c r="CN43" i="1"/>
  <c r="DS43" i="1" s="1"/>
  <c r="CO43" i="1"/>
  <c r="DT43" i="1" s="1"/>
  <c r="CP43" i="1"/>
  <c r="DU43" i="1" s="1"/>
  <c r="CQ43" i="1"/>
  <c r="DV43" i="1" s="1"/>
  <c r="CR43" i="1"/>
  <c r="DW43" i="1" s="1"/>
  <c r="CS43" i="1"/>
  <c r="DX43" i="1" s="1"/>
  <c r="CT43" i="1"/>
  <c r="DY43" i="1" s="1"/>
  <c r="CU43" i="1"/>
  <c r="DZ43" i="1" s="1"/>
  <c r="CV43" i="1"/>
  <c r="EA43" i="1" s="1"/>
  <c r="BR44" i="1"/>
  <c r="CW44" i="1" s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DM44" i="1" s="1"/>
  <c r="CI44" i="1"/>
  <c r="DN44" i="1" s="1"/>
  <c r="CJ44" i="1"/>
  <c r="DO44" i="1" s="1"/>
  <c r="CK44" i="1"/>
  <c r="DP44" i="1" s="1"/>
  <c r="CL44" i="1"/>
  <c r="DQ44" i="1" s="1"/>
  <c r="CM44" i="1"/>
  <c r="DR44" i="1" s="1"/>
  <c r="CN44" i="1"/>
  <c r="DS44" i="1" s="1"/>
  <c r="CO44" i="1"/>
  <c r="DT44" i="1" s="1"/>
  <c r="CP44" i="1"/>
  <c r="DU44" i="1" s="1"/>
  <c r="CQ44" i="1"/>
  <c r="DV44" i="1" s="1"/>
  <c r="CR44" i="1"/>
  <c r="DW44" i="1" s="1"/>
  <c r="CS44" i="1"/>
  <c r="DX44" i="1" s="1"/>
  <c r="CT44" i="1"/>
  <c r="DY44" i="1" s="1"/>
  <c r="CU44" i="1"/>
  <c r="DZ44" i="1" s="1"/>
  <c r="CV44" i="1"/>
  <c r="EA44" i="1" s="1"/>
  <c r="BR45" i="1"/>
  <c r="CW45" i="1" s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DM45" i="1" s="1"/>
  <c r="CI45" i="1"/>
  <c r="DN45" i="1" s="1"/>
  <c r="CJ45" i="1"/>
  <c r="DO45" i="1" s="1"/>
  <c r="CK45" i="1"/>
  <c r="DP45" i="1" s="1"/>
  <c r="CL45" i="1"/>
  <c r="DQ45" i="1" s="1"/>
  <c r="CM45" i="1"/>
  <c r="DR45" i="1" s="1"/>
  <c r="CN45" i="1"/>
  <c r="DS45" i="1" s="1"/>
  <c r="CO45" i="1"/>
  <c r="DT45" i="1" s="1"/>
  <c r="CP45" i="1"/>
  <c r="DU45" i="1" s="1"/>
  <c r="CQ45" i="1"/>
  <c r="DV45" i="1" s="1"/>
  <c r="CR45" i="1"/>
  <c r="DW45" i="1" s="1"/>
  <c r="CS45" i="1"/>
  <c r="DX45" i="1" s="1"/>
  <c r="CT45" i="1"/>
  <c r="DY45" i="1" s="1"/>
  <c r="CU45" i="1"/>
  <c r="DZ45" i="1" s="1"/>
  <c r="CV45" i="1"/>
  <c r="EA45" i="1" s="1"/>
  <c r="BR46" i="1"/>
  <c r="CW46" i="1" s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DM46" i="1" s="1"/>
  <c r="CI46" i="1"/>
  <c r="DN46" i="1" s="1"/>
  <c r="CJ46" i="1"/>
  <c r="DO46" i="1" s="1"/>
  <c r="CK46" i="1"/>
  <c r="DP46" i="1" s="1"/>
  <c r="CL46" i="1"/>
  <c r="DQ46" i="1" s="1"/>
  <c r="CM46" i="1"/>
  <c r="DR46" i="1" s="1"/>
  <c r="CN46" i="1"/>
  <c r="DS46" i="1" s="1"/>
  <c r="CO46" i="1"/>
  <c r="DT46" i="1" s="1"/>
  <c r="CP46" i="1"/>
  <c r="DU46" i="1" s="1"/>
  <c r="CQ46" i="1"/>
  <c r="DV46" i="1" s="1"/>
  <c r="CR46" i="1"/>
  <c r="DW46" i="1" s="1"/>
  <c r="CS46" i="1"/>
  <c r="DX46" i="1" s="1"/>
  <c r="CT46" i="1"/>
  <c r="DY46" i="1" s="1"/>
  <c r="CU46" i="1"/>
  <c r="DZ46" i="1" s="1"/>
  <c r="CV46" i="1"/>
  <c r="EA46" i="1" s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DM47" i="1" s="1"/>
  <c r="CI47" i="1"/>
  <c r="DN47" i="1" s="1"/>
  <c r="CJ47" i="1"/>
  <c r="DO47" i="1" s="1"/>
  <c r="CK47" i="1"/>
  <c r="DP47" i="1" s="1"/>
  <c r="CL47" i="1"/>
  <c r="DQ47" i="1" s="1"/>
  <c r="CM47" i="1"/>
  <c r="DR47" i="1" s="1"/>
  <c r="CN47" i="1"/>
  <c r="DS47" i="1" s="1"/>
  <c r="CO47" i="1"/>
  <c r="DT47" i="1" s="1"/>
  <c r="CP47" i="1"/>
  <c r="DU47" i="1" s="1"/>
  <c r="CQ47" i="1"/>
  <c r="DV47" i="1" s="1"/>
  <c r="CR47" i="1"/>
  <c r="DW47" i="1" s="1"/>
  <c r="CS47" i="1"/>
  <c r="DX47" i="1" s="1"/>
  <c r="CT47" i="1"/>
  <c r="DY47" i="1" s="1"/>
  <c r="CU47" i="1"/>
  <c r="DZ47" i="1" s="1"/>
  <c r="CV47" i="1"/>
  <c r="EA47" i="1" s="1"/>
  <c r="BR48" i="1"/>
  <c r="BS48" i="1"/>
  <c r="BT48" i="1"/>
  <c r="BU48" i="1"/>
  <c r="BV48" i="1"/>
  <c r="BW48" i="1"/>
  <c r="BX48" i="1"/>
  <c r="BY48" i="1"/>
  <c r="BZ48" i="1"/>
  <c r="CA48" i="1"/>
  <c r="CB48" i="1"/>
  <c r="CC48" i="1"/>
  <c r="BW21" i="26" s="1"/>
  <c r="CD48" i="1"/>
  <c r="CE48" i="1"/>
  <c r="CF48" i="1"/>
  <c r="CG48" i="1"/>
  <c r="CH48" i="1"/>
  <c r="DM48" i="1" s="1"/>
  <c r="CI48" i="1"/>
  <c r="DN48" i="1" s="1"/>
  <c r="CJ48" i="1"/>
  <c r="DO48" i="1" s="1"/>
  <c r="CK48" i="1"/>
  <c r="DP48" i="1" s="1"/>
  <c r="CL48" i="1"/>
  <c r="DQ48" i="1" s="1"/>
  <c r="CM48" i="1"/>
  <c r="DR48" i="1" s="1"/>
  <c r="CN48" i="1"/>
  <c r="DS48" i="1" s="1"/>
  <c r="CO48" i="1"/>
  <c r="DT48" i="1" s="1"/>
  <c r="CP48" i="1"/>
  <c r="DU48" i="1" s="1"/>
  <c r="CQ48" i="1"/>
  <c r="DV48" i="1" s="1"/>
  <c r="CR48" i="1"/>
  <c r="DW48" i="1" s="1"/>
  <c r="CS48" i="1"/>
  <c r="DX48" i="1" s="1"/>
  <c r="CT48" i="1"/>
  <c r="DY48" i="1" s="1"/>
  <c r="CU48" i="1"/>
  <c r="DZ48" i="1" s="1"/>
  <c r="CV48" i="1"/>
  <c r="EA48" i="1" s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DM49" i="1" s="1"/>
  <c r="CI49" i="1"/>
  <c r="DN49" i="1" s="1"/>
  <c r="CJ49" i="1"/>
  <c r="DO49" i="1" s="1"/>
  <c r="CK49" i="1"/>
  <c r="DP49" i="1" s="1"/>
  <c r="CL49" i="1"/>
  <c r="DQ49" i="1" s="1"/>
  <c r="CM49" i="1"/>
  <c r="DR49" i="1" s="1"/>
  <c r="CN49" i="1"/>
  <c r="DS49" i="1" s="1"/>
  <c r="CO49" i="1"/>
  <c r="DT49" i="1" s="1"/>
  <c r="CP49" i="1"/>
  <c r="DU49" i="1" s="1"/>
  <c r="CQ49" i="1"/>
  <c r="DV49" i="1" s="1"/>
  <c r="CR49" i="1"/>
  <c r="DW49" i="1" s="1"/>
  <c r="CS49" i="1"/>
  <c r="DX49" i="1" s="1"/>
  <c r="CT49" i="1"/>
  <c r="DY49" i="1" s="1"/>
  <c r="CU49" i="1"/>
  <c r="DZ49" i="1" s="1"/>
  <c r="CV49" i="1"/>
  <c r="EA49" i="1" s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DM50" i="1" s="1"/>
  <c r="CI50" i="1"/>
  <c r="DN50" i="1" s="1"/>
  <c r="CJ50" i="1"/>
  <c r="DO50" i="1" s="1"/>
  <c r="CK50" i="1"/>
  <c r="DP50" i="1" s="1"/>
  <c r="CL50" i="1"/>
  <c r="DQ50" i="1" s="1"/>
  <c r="CM50" i="1"/>
  <c r="DR50" i="1" s="1"/>
  <c r="CN50" i="1"/>
  <c r="DS50" i="1" s="1"/>
  <c r="CO50" i="1"/>
  <c r="DT50" i="1" s="1"/>
  <c r="CP50" i="1"/>
  <c r="DU50" i="1" s="1"/>
  <c r="CQ50" i="1"/>
  <c r="DV50" i="1" s="1"/>
  <c r="CR50" i="1"/>
  <c r="DW50" i="1" s="1"/>
  <c r="CS50" i="1"/>
  <c r="DX50" i="1" s="1"/>
  <c r="CT50" i="1"/>
  <c r="DY50" i="1" s="1"/>
  <c r="CU50" i="1"/>
  <c r="DZ50" i="1" s="1"/>
  <c r="CV50" i="1"/>
  <c r="EA50" i="1" s="1"/>
  <c r="BR51" i="1"/>
  <c r="BS51" i="1"/>
  <c r="BT51" i="1"/>
  <c r="BU51" i="1"/>
  <c r="BV51" i="1"/>
  <c r="BW51" i="1"/>
  <c r="BX51" i="1"/>
  <c r="BY51" i="1"/>
  <c r="BZ51" i="1"/>
  <c r="CA51" i="1"/>
  <c r="BK24" i="26" s="1"/>
  <c r="CB51" i="1"/>
  <c r="CC51" i="1"/>
  <c r="CD51" i="1"/>
  <c r="CE51" i="1"/>
  <c r="CF51" i="1"/>
  <c r="CG51" i="1"/>
  <c r="CH51" i="1"/>
  <c r="DM51" i="1" s="1"/>
  <c r="CI51" i="1"/>
  <c r="DN51" i="1" s="1"/>
  <c r="CJ51" i="1"/>
  <c r="DO51" i="1" s="1"/>
  <c r="CK51" i="1"/>
  <c r="DP51" i="1" s="1"/>
  <c r="CL51" i="1"/>
  <c r="DQ51" i="1" s="1"/>
  <c r="CM51" i="1"/>
  <c r="DR51" i="1" s="1"/>
  <c r="CN51" i="1"/>
  <c r="DS51" i="1" s="1"/>
  <c r="CO51" i="1"/>
  <c r="DT51" i="1" s="1"/>
  <c r="CP51" i="1"/>
  <c r="DU51" i="1" s="1"/>
  <c r="CQ51" i="1"/>
  <c r="DV51" i="1" s="1"/>
  <c r="CR51" i="1"/>
  <c r="DW51" i="1" s="1"/>
  <c r="CS51" i="1"/>
  <c r="DX51" i="1" s="1"/>
  <c r="CT51" i="1"/>
  <c r="DY51" i="1" s="1"/>
  <c r="CU51" i="1"/>
  <c r="DZ51" i="1" s="1"/>
  <c r="CV51" i="1"/>
  <c r="EA51" i="1" s="1"/>
  <c r="BR52" i="1"/>
  <c r="BS52" i="1"/>
  <c r="BT52" i="1"/>
  <c r="AA25" i="26" s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DM52" i="1" s="1"/>
  <c r="CI52" i="1"/>
  <c r="DN52" i="1" s="1"/>
  <c r="CJ52" i="1"/>
  <c r="DO52" i="1" s="1"/>
  <c r="CK52" i="1"/>
  <c r="DP52" i="1" s="1"/>
  <c r="CL52" i="1"/>
  <c r="DQ52" i="1" s="1"/>
  <c r="CM52" i="1"/>
  <c r="DR52" i="1" s="1"/>
  <c r="CN52" i="1"/>
  <c r="DS52" i="1" s="1"/>
  <c r="CO52" i="1"/>
  <c r="DT52" i="1" s="1"/>
  <c r="CP52" i="1"/>
  <c r="DU52" i="1" s="1"/>
  <c r="CQ52" i="1"/>
  <c r="DV52" i="1" s="1"/>
  <c r="CR52" i="1"/>
  <c r="DW52" i="1" s="1"/>
  <c r="CS52" i="1"/>
  <c r="DX52" i="1" s="1"/>
  <c r="CT52" i="1"/>
  <c r="DY52" i="1" s="1"/>
  <c r="CU52" i="1"/>
  <c r="DZ52" i="1" s="1"/>
  <c r="CV52" i="1"/>
  <c r="EA52" i="1" s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I26" i="26" s="1"/>
  <c r="CF53" i="1"/>
  <c r="CG53" i="1"/>
  <c r="CH53" i="1"/>
  <c r="DM53" i="1" s="1"/>
  <c r="CI53" i="1"/>
  <c r="DN53" i="1" s="1"/>
  <c r="CJ53" i="1"/>
  <c r="DO53" i="1" s="1"/>
  <c r="CK53" i="1"/>
  <c r="DP53" i="1" s="1"/>
  <c r="CL53" i="1"/>
  <c r="DQ53" i="1" s="1"/>
  <c r="CM53" i="1"/>
  <c r="DR53" i="1" s="1"/>
  <c r="CN53" i="1"/>
  <c r="DS53" i="1" s="1"/>
  <c r="CO53" i="1"/>
  <c r="DT53" i="1" s="1"/>
  <c r="CP53" i="1"/>
  <c r="DU53" i="1" s="1"/>
  <c r="CQ53" i="1"/>
  <c r="DV53" i="1" s="1"/>
  <c r="CR53" i="1"/>
  <c r="DW53" i="1" s="1"/>
  <c r="CS53" i="1"/>
  <c r="DX53" i="1" s="1"/>
  <c r="CT53" i="1"/>
  <c r="DY53" i="1" s="1"/>
  <c r="CU53" i="1"/>
  <c r="DZ53" i="1" s="1"/>
  <c r="CV53" i="1"/>
  <c r="EA53" i="1" s="1"/>
  <c r="BR55" i="1"/>
  <c r="CW55" i="1" s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DM55" i="1" s="1"/>
  <c r="CI55" i="1"/>
  <c r="DN55" i="1" s="1"/>
  <c r="CJ55" i="1"/>
  <c r="DO55" i="1" s="1"/>
  <c r="CK55" i="1"/>
  <c r="DP55" i="1" s="1"/>
  <c r="CL55" i="1"/>
  <c r="DQ55" i="1" s="1"/>
  <c r="CM55" i="1"/>
  <c r="DR55" i="1" s="1"/>
  <c r="CN55" i="1"/>
  <c r="DS55" i="1" s="1"/>
  <c r="CO55" i="1"/>
  <c r="DT55" i="1" s="1"/>
  <c r="CP55" i="1"/>
  <c r="DU55" i="1" s="1"/>
  <c r="CQ55" i="1"/>
  <c r="DV55" i="1" s="1"/>
  <c r="CR55" i="1"/>
  <c r="DW55" i="1" s="1"/>
  <c r="CS55" i="1"/>
  <c r="DX55" i="1" s="1"/>
  <c r="CT55" i="1"/>
  <c r="DY55" i="1" s="1"/>
  <c r="CU55" i="1"/>
  <c r="DZ55" i="1" s="1"/>
  <c r="CV55" i="1"/>
  <c r="EA55" i="1" s="1"/>
  <c r="BR56" i="1"/>
  <c r="CW56" i="1" s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DM56" i="1" s="1"/>
  <c r="CI56" i="1"/>
  <c r="DN56" i="1" s="1"/>
  <c r="CJ56" i="1"/>
  <c r="DO56" i="1" s="1"/>
  <c r="CK56" i="1"/>
  <c r="DP56" i="1" s="1"/>
  <c r="CL56" i="1"/>
  <c r="DQ56" i="1" s="1"/>
  <c r="CM56" i="1"/>
  <c r="DR56" i="1" s="1"/>
  <c r="CN56" i="1"/>
  <c r="DS56" i="1" s="1"/>
  <c r="CO56" i="1"/>
  <c r="DT56" i="1" s="1"/>
  <c r="CP56" i="1"/>
  <c r="DU56" i="1" s="1"/>
  <c r="CQ56" i="1"/>
  <c r="DV56" i="1" s="1"/>
  <c r="CR56" i="1"/>
  <c r="DW56" i="1" s="1"/>
  <c r="CS56" i="1"/>
  <c r="DX56" i="1" s="1"/>
  <c r="CT56" i="1"/>
  <c r="DY56" i="1" s="1"/>
  <c r="CU56" i="1"/>
  <c r="DZ56" i="1" s="1"/>
  <c r="CV56" i="1"/>
  <c r="EA56" i="1" s="1"/>
  <c r="BR57" i="1"/>
  <c r="CW57" i="1" s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DM57" i="1" s="1"/>
  <c r="CI57" i="1"/>
  <c r="DN57" i="1" s="1"/>
  <c r="CJ57" i="1"/>
  <c r="DO57" i="1" s="1"/>
  <c r="CK57" i="1"/>
  <c r="DP57" i="1" s="1"/>
  <c r="CL57" i="1"/>
  <c r="DQ57" i="1" s="1"/>
  <c r="CM57" i="1"/>
  <c r="DR57" i="1" s="1"/>
  <c r="CN57" i="1"/>
  <c r="DS57" i="1" s="1"/>
  <c r="CO57" i="1"/>
  <c r="DT57" i="1" s="1"/>
  <c r="CP57" i="1"/>
  <c r="DU57" i="1" s="1"/>
  <c r="CQ57" i="1"/>
  <c r="DV57" i="1" s="1"/>
  <c r="CR57" i="1"/>
  <c r="DW57" i="1" s="1"/>
  <c r="CS57" i="1"/>
  <c r="DX57" i="1" s="1"/>
  <c r="CT57" i="1"/>
  <c r="DY57" i="1" s="1"/>
  <c r="CU57" i="1"/>
  <c r="DZ57" i="1" s="1"/>
  <c r="CV57" i="1"/>
  <c r="EA57" i="1" s="1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CW3" i="1"/>
  <c r="CX3" i="1"/>
  <c r="CY3" i="1"/>
  <c r="CZ3" i="1"/>
  <c r="DA3" i="1"/>
  <c r="DB3" i="1"/>
  <c r="DC3" i="1"/>
  <c r="DD3" i="1"/>
  <c r="DE3" i="1"/>
  <c r="DF3" i="1"/>
  <c r="DG3" i="1"/>
  <c r="DH3" i="1"/>
  <c r="DI3" i="1"/>
  <c r="DJ3" i="1"/>
  <c r="DK3" i="1"/>
  <c r="X13" i="18" s="1"/>
  <c r="DL3" i="1"/>
  <c r="AB13" i="18" s="1"/>
  <c r="DM3" i="1"/>
  <c r="DP3" i="1"/>
  <c r="DQ3" i="1"/>
  <c r="DR3" i="1"/>
  <c r="DS3" i="1"/>
  <c r="DU3" i="1"/>
  <c r="DY3" i="1"/>
  <c r="EA3" i="1"/>
  <c r="CX4" i="1"/>
  <c r="CY4" i="1"/>
  <c r="CZ4" i="1"/>
  <c r="DA4" i="1"/>
  <c r="DB4" i="1"/>
  <c r="DC4" i="1"/>
  <c r="DD4" i="1"/>
  <c r="DE4" i="1"/>
  <c r="DF4" i="1"/>
  <c r="DG4" i="1"/>
  <c r="DH4" i="1"/>
  <c r="DI4" i="1"/>
  <c r="DJ4" i="1"/>
  <c r="DK4" i="1"/>
  <c r="X14" i="18" s="1"/>
  <c r="DL4" i="1"/>
  <c r="AB14" i="18" s="1"/>
  <c r="DP4" i="1"/>
  <c r="DQ4" i="1"/>
  <c r="DR4" i="1"/>
  <c r="DZ4" i="1"/>
  <c r="CX5" i="1"/>
  <c r="CY5" i="1"/>
  <c r="CZ5" i="1"/>
  <c r="DA5" i="1"/>
  <c r="DB5" i="1"/>
  <c r="DC5" i="1"/>
  <c r="DD5" i="1"/>
  <c r="DE5" i="1"/>
  <c r="DF5" i="1"/>
  <c r="DG5" i="1"/>
  <c r="DH5" i="1"/>
  <c r="DI5" i="1"/>
  <c r="DJ5" i="1"/>
  <c r="DK5" i="1"/>
  <c r="X15" i="18" s="1"/>
  <c r="DL5" i="1"/>
  <c r="AB15" i="18" s="1"/>
  <c r="DP5" i="1"/>
  <c r="DQ5" i="1"/>
  <c r="DR5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X16" i="18" s="1"/>
  <c r="DL6" i="1"/>
  <c r="AB16" i="18" s="1"/>
  <c r="DP6" i="1"/>
  <c r="DQ6" i="1"/>
  <c r="DR6" i="1"/>
  <c r="DZ6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X17" i="18" s="1"/>
  <c r="DL7" i="1"/>
  <c r="AB17" i="18" s="1"/>
  <c r="DM7" i="1"/>
  <c r="DP7" i="1"/>
  <c r="DQ7" i="1"/>
  <c r="DR7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X18" i="18" s="1"/>
  <c r="DL8" i="1"/>
  <c r="AB18" i="18" s="1"/>
  <c r="DN8" i="1"/>
  <c r="DP8" i="1"/>
  <c r="DQ8" i="1"/>
  <c r="DR8" i="1"/>
  <c r="DZ8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X19" i="18" s="1"/>
  <c r="DL9" i="1"/>
  <c r="AB19" i="18" s="1"/>
  <c r="DN9" i="1"/>
  <c r="DP9" i="1"/>
  <c r="DQ9" i="1"/>
  <c r="DR9" i="1"/>
  <c r="DS9" i="1"/>
  <c r="DZ9" i="1"/>
  <c r="EA9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X20" i="18" s="1"/>
  <c r="DL10" i="1"/>
  <c r="AB20" i="18" s="1"/>
  <c r="DP10" i="1"/>
  <c r="DQ10" i="1"/>
  <c r="DR10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X13" i="20" s="1"/>
  <c r="DL11" i="1"/>
  <c r="AB13" i="20" s="1"/>
  <c r="DR11" i="1"/>
  <c r="CX12" i="1"/>
  <c r="CY12" i="1"/>
  <c r="DA12" i="1"/>
  <c r="DB12" i="1"/>
  <c r="DC12" i="1"/>
  <c r="DD12" i="1"/>
  <c r="DF12" i="1"/>
  <c r="DG12" i="1"/>
  <c r="DH12" i="1"/>
  <c r="DI12" i="1"/>
  <c r="DJ12" i="1"/>
  <c r="DK12" i="1"/>
  <c r="X14" i="20" s="1"/>
  <c r="DL12" i="1"/>
  <c r="AB14" i="20" s="1"/>
  <c r="DR12" i="1"/>
  <c r="DS12" i="1"/>
  <c r="CZ12" i="1"/>
  <c r="DE12" i="1"/>
  <c r="CX13" i="1"/>
  <c r="CY13" i="1"/>
  <c r="CZ13" i="1"/>
  <c r="DA13" i="1"/>
  <c r="DB13" i="1"/>
  <c r="DC13" i="1"/>
  <c r="DE13" i="1"/>
  <c r="DF13" i="1"/>
  <c r="DG13" i="1"/>
  <c r="DH13" i="1"/>
  <c r="DI13" i="1"/>
  <c r="DJ13" i="1"/>
  <c r="DK13" i="1"/>
  <c r="X15" i="20" s="1"/>
  <c r="DL13" i="1"/>
  <c r="AB15" i="20" s="1"/>
  <c r="DR13" i="1"/>
  <c r="DV13" i="1"/>
  <c r="DD13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X16" i="20" s="1"/>
  <c r="DL14" i="1"/>
  <c r="AB16" i="20" s="1"/>
  <c r="DO14" i="1"/>
  <c r="DR14" i="1"/>
  <c r="DS14" i="1"/>
  <c r="DZ14" i="1"/>
  <c r="CX15" i="1"/>
  <c r="CY15" i="1"/>
  <c r="CZ15" i="1"/>
  <c r="DA15" i="1"/>
  <c r="DB15" i="1"/>
  <c r="DC15" i="1"/>
  <c r="DD15" i="1"/>
  <c r="DE15" i="1"/>
  <c r="DF15" i="1"/>
  <c r="DG15" i="1"/>
  <c r="DI15" i="1"/>
  <c r="DJ15" i="1"/>
  <c r="DK15" i="1"/>
  <c r="X17" i="20" s="1"/>
  <c r="DL15" i="1"/>
  <c r="AB17" i="20" s="1"/>
  <c r="DR15" i="1"/>
  <c r="DV15" i="1"/>
  <c r="DH15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X18" i="20" s="1"/>
  <c r="DL16" i="1"/>
  <c r="AB18" i="20" s="1"/>
  <c r="DR16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X20" i="20" s="1"/>
  <c r="DL18" i="1"/>
  <c r="AB20" i="20" s="1"/>
  <c r="DR18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X13" i="24" s="1"/>
  <c r="DL19" i="1"/>
  <c r="AB13" i="24" s="1"/>
  <c r="DR19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X14" i="24" s="1"/>
  <c r="DL20" i="1"/>
  <c r="AB14" i="24" s="1"/>
  <c r="DR20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X15" i="24" s="1"/>
  <c r="DL21" i="1"/>
  <c r="AB15" i="24" s="1"/>
  <c r="DM21" i="1"/>
  <c r="DR21" i="1"/>
  <c r="CX22" i="1"/>
  <c r="CY22" i="1"/>
  <c r="CZ22" i="1"/>
  <c r="DA22" i="1"/>
  <c r="DB22" i="1"/>
  <c r="DC22" i="1"/>
  <c r="DD22" i="1"/>
  <c r="DF22" i="1"/>
  <c r="DG22" i="1"/>
  <c r="DH22" i="1"/>
  <c r="DI22" i="1"/>
  <c r="DJ22" i="1"/>
  <c r="DK22" i="1"/>
  <c r="X16" i="24" s="1"/>
  <c r="DL22" i="1"/>
  <c r="AB16" i="24" s="1"/>
  <c r="DR22" i="1"/>
  <c r="DE22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X17" i="24" s="1"/>
  <c r="DL23" i="1"/>
  <c r="AB17" i="24" s="1"/>
  <c r="DR23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X18" i="24" s="1"/>
  <c r="DL24" i="1"/>
  <c r="AB18" i="24" s="1"/>
  <c r="DR24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X19" i="24" s="1"/>
  <c r="DR25" i="1"/>
  <c r="DX25" i="1"/>
  <c r="DL25" i="1"/>
  <c r="AB19" i="24" s="1"/>
  <c r="CX26" i="1"/>
  <c r="CY26" i="1"/>
  <c r="CZ26" i="1"/>
  <c r="DA26" i="1"/>
  <c r="DB26" i="1"/>
  <c r="DC26" i="1"/>
  <c r="DD26" i="1"/>
  <c r="DF26" i="1"/>
  <c r="DG26" i="1"/>
  <c r="DH26" i="1"/>
  <c r="DI26" i="1"/>
  <c r="DJ26" i="1"/>
  <c r="DK26" i="1"/>
  <c r="X20" i="24" s="1"/>
  <c r="DL26" i="1"/>
  <c r="AB20" i="24" s="1"/>
  <c r="DR26" i="1"/>
  <c r="DE26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X21" i="24" s="1"/>
  <c r="DL27" i="1"/>
  <c r="AB21" i="24" s="1"/>
  <c r="DR27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X22" i="24" s="1"/>
  <c r="DL28" i="1"/>
  <c r="AB22" i="24" s="1"/>
  <c r="DR28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X23" i="24" s="1"/>
  <c r="DL29" i="1"/>
  <c r="AB23" i="24" s="1"/>
  <c r="DM29" i="1"/>
  <c r="DR29" i="1"/>
  <c r="DU29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X24" i="24" s="1"/>
  <c r="DL30" i="1"/>
  <c r="AB24" i="24" s="1"/>
  <c r="DR30" i="1"/>
  <c r="DY30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X25" i="24" s="1"/>
  <c r="DL31" i="1"/>
  <c r="AB25" i="24" s="1"/>
  <c r="DR31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X26" i="24" s="1"/>
  <c r="DL32" i="1"/>
  <c r="AB26" i="24" s="1"/>
  <c r="DR32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X27" i="24" s="1"/>
  <c r="DL33" i="1"/>
  <c r="AB27" i="24" s="1"/>
  <c r="DR33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X28" i="24" s="1"/>
  <c r="DL34" i="1"/>
  <c r="AB28" i="24" s="1"/>
  <c r="DR34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X29" i="24" s="1"/>
  <c r="DL35" i="1"/>
  <c r="AB29" i="24" s="1"/>
  <c r="DR35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X30" i="24" s="1"/>
  <c r="DL36" i="1"/>
  <c r="AB30" i="24" s="1"/>
  <c r="DR36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X31" i="24" s="1"/>
  <c r="DL37" i="1"/>
  <c r="AB31" i="24" s="1"/>
  <c r="DR37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X32" i="24" s="1"/>
  <c r="DL38" i="1"/>
  <c r="AB32" i="24" s="1"/>
  <c r="DR38" i="1"/>
  <c r="BD32" i="24" s="1"/>
  <c r="G13" i="6"/>
  <c r="DF51" i="1" l="1"/>
  <c r="BL24" i="26" s="1"/>
  <c r="CY52" i="1"/>
  <c r="AB25" i="26" s="1"/>
  <c r="DH48" i="1"/>
  <c r="BX21" i="26" s="1"/>
  <c r="DH42" i="1"/>
  <c r="BX15" i="26" s="1"/>
  <c r="DE43" i="1"/>
  <c r="BH16" i="26" s="1"/>
  <c r="AU20" i="20"/>
  <c r="DK57" i="1"/>
  <c r="CN30" i="26" s="1"/>
  <c r="CM30" i="26"/>
  <c r="DG57" i="1"/>
  <c r="BT30" i="26" s="1"/>
  <c r="BS30" i="26"/>
  <c r="DC57" i="1"/>
  <c r="AV30" i="26" s="1"/>
  <c r="AU30" i="26"/>
  <c r="CY57" i="1"/>
  <c r="AB30" i="26" s="1"/>
  <c r="AA30" i="26"/>
  <c r="DJ56" i="1"/>
  <c r="CJ29" i="26" s="1"/>
  <c r="CI29" i="26"/>
  <c r="DF56" i="1"/>
  <c r="BL29" i="26" s="1"/>
  <c r="BK29" i="26"/>
  <c r="DB56" i="1"/>
  <c r="AR29" i="26" s="1"/>
  <c r="AQ29" i="26"/>
  <c r="CX56" i="1"/>
  <c r="X29" i="26" s="1"/>
  <c r="W29" i="26"/>
  <c r="DI55" i="1"/>
  <c r="CB28" i="26" s="1"/>
  <c r="CA28" i="26"/>
  <c r="DE55" i="1"/>
  <c r="BH28" i="26" s="1"/>
  <c r="BG28" i="26"/>
  <c r="DA55" i="1"/>
  <c r="AN28" i="26" s="1"/>
  <c r="AM28" i="26"/>
  <c r="CR27" i="26"/>
  <c r="CQ27" i="26"/>
  <c r="BX27" i="26"/>
  <c r="BW27" i="26"/>
  <c r="BD27" i="26"/>
  <c r="BC27" i="26"/>
  <c r="AF27" i="26"/>
  <c r="AE27" i="26"/>
  <c r="DJ53" i="1"/>
  <c r="CJ26" i="26" s="1"/>
  <c r="DL53" i="1"/>
  <c r="CR26" i="26" s="1"/>
  <c r="CQ26" i="26"/>
  <c r="DH53" i="1"/>
  <c r="BX26" i="26" s="1"/>
  <c r="BW26" i="26"/>
  <c r="DD53" i="1"/>
  <c r="BD26" i="26" s="1"/>
  <c r="BC26" i="26"/>
  <c r="CZ53" i="1"/>
  <c r="AF26" i="26" s="1"/>
  <c r="AE26" i="26"/>
  <c r="DJ52" i="1"/>
  <c r="CJ25" i="26" s="1"/>
  <c r="CI25" i="26"/>
  <c r="DF52" i="1"/>
  <c r="BL25" i="26" s="1"/>
  <c r="BK25" i="26"/>
  <c r="DB52" i="1"/>
  <c r="AR25" i="26" s="1"/>
  <c r="AQ25" i="26"/>
  <c r="CX52" i="1"/>
  <c r="X25" i="26" s="1"/>
  <c r="W25" i="26"/>
  <c r="DK51" i="1"/>
  <c r="CN24" i="26" s="1"/>
  <c r="CM24" i="26"/>
  <c r="DG51" i="1"/>
  <c r="BT24" i="26" s="1"/>
  <c r="BS24" i="26"/>
  <c r="DC51" i="1"/>
  <c r="AV24" i="26" s="1"/>
  <c r="AU24" i="26"/>
  <c r="CY51" i="1"/>
  <c r="AB24" i="26" s="1"/>
  <c r="AA24" i="26"/>
  <c r="DK50" i="1"/>
  <c r="CN23" i="26" s="1"/>
  <c r="CM23" i="26"/>
  <c r="DG50" i="1"/>
  <c r="BT23" i="26" s="1"/>
  <c r="BS23" i="26"/>
  <c r="DC50" i="1"/>
  <c r="AV23" i="26" s="1"/>
  <c r="AU23" i="26"/>
  <c r="CY50" i="1"/>
  <c r="AB23" i="26" s="1"/>
  <c r="AA23" i="26"/>
  <c r="DJ49" i="1"/>
  <c r="CJ22" i="26" s="1"/>
  <c r="CI22" i="26"/>
  <c r="DF49" i="1"/>
  <c r="BL22" i="26" s="1"/>
  <c r="BK22" i="26"/>
  <c r="DB49" i="1"/>
  <c r="AR22" i="26" s="1"/>
  <c r="AQ22" i="26"/>
  <c r="CX49" i="1"/>
  <c r="X22" i="26" s="1"/>
  <c r="W22" i="26"/>
  <c r="DJ48" i="1"/>
  <c r="CJ21" i="26" s="1"/>
  <c r="CI21" i="26"/>
  <c r="DF48" i="1"/>
  <c r="BL21" i="26" s="1"/>
  <c r="BK21" i="26"/>
  <c r="DB48" i="1"/>
  <c r="AR21" i="26" s="1"/>
  <c r="AQ21" i="26"/>
  <c r="CX48" i="1"/>
  <c r="X21" i="26" s="1"/>
  <c r="W21" i="26"/>
  <c r="DI47" i="1"/>
  <c r="CB20" i="26" s="1"/>
  <c r="CA20" i="26"/>
  <c r="DE47" i="1"/>
  <c r="BH20" i="26" s="1"/>
  <c r="BG20" i="26"/>
  <c r="DA47" i="1"/>
  <c r="AN20" i="26" s="1"/>
  <c r="AM20" i="26"/>
  <c r="CW47" i="1"/>
  <c r="H20" i="26" s="1"/>
  <c r="G20" i="26"/>
  <c r="DI46" i="1"/>
  <c r="CB19" i="26" s="1"/>
  <c r="CA19" i="26"/>
  <c r="DE46" i="1"/>
  <c r="BH19" i="26" s="1"/>
  <c r="BG19" i="26"/>
  <c r="DA46" i="1"/>
  <c r="AN19" i="26" s="1"/>
  <c r="AM19" i="26"/>
  <c r="DI45" i="1"/>
  <c r="CB18" i="26" s="1"/>
  <c r="CA18" i="26"/>
  <c r="DE45" i="1"/>
  <c r="BH18" i="26" s="1"/>
  <c r="BG18" i="26"/>
  <c r="DA45" i="1"/>
  <c r="AN18" i="26" s="1"/>
  <c r="AM18" i="26"/>
  <c r="DL44" i="1"/>
  <c r="CR17" i="26" s="1"/>
  <c r="CQ17" i="26"/>
  <c r="DH44" i="1"/>
  <c r="BX17" i="26" s="1"/>
  <c r="BW17" i="26"/>
  <c r="DD44" i="1"/>
  <c r="BD17" i="26" s="1"/>
  <c r="BC17" i="26"/>
  <c r="CZ44" i="1"/>
  <c r="AF17" i="26" s="1"/>
  <c r="AE17" i="26"/>
  <c r="DL43" i="1"/>
  <c r="CR16" i="26" s="1"/>
  <c r="CQ16" i="26"/>
  <c r="DH43" i="1"/>
  <c r="BX16" i="26" s="1"/>
  <c r="BW16" i="26"/>
  <c r="DD43" i="1"/>
  <c r="BD16" i="26" s="1"/>
  <c r="BC16" i="26"/>
  <c r="CZ43" i="1"/>
  <c r="AF16" i="26" s="1"/>
  <c r="AE16" i="26"/>
  <c r="DJ42" i="1"/>
  <c r="CJ15" i="26" s="1"/>
  <c r="CI15" i="26"/>
  <c r="DF42" i="1"/>
  <c r="BL15" i="26" s="1"/>
  <c r="BK15" i="26"/>
  <c r="DB42" i="1"/>
  <c r="AR15" i="26" s="1"/>
  <c r="AQ15" i="26"/>
  <c r="CX42" i="1"/>
  <c r="X15" i="26" s="1"/>
  <c r="W15" i="26"/>
  <c r="DJ41" i="1"/>
  <c r="CJ14" i="26" s="1"/>
  <c r="CI14" i="26"/>
  <c r="DF41" i="1"/>
  <c r="BL14" i="26" s="1"/>
  <c r="BK14" i="26"/>
  <c r="DB41" i="1"/>
  <c r="AR14" i="26" s="1"/>
  <c r="AQ14" i="26"/>
  <c r="CX41" i="1"/>
  <c r="X14" i="26" s="1"/>
  <c r="W14" i="26"/>
  <c r="DJ40" i="1"/>
  <c r="CJ13" i="26" s="1"/>
  <c r="CI13" i="26"/>
  <c r="BL13" i="26"/>
  <c r="BK13" i="26"/>
  <c r="DB40" i="1"/>
  <c r="AR13" i="26" s="1"/>
  <c r="AQ13" i="26"/>
  <c r="CX40" i="1"/>
  <c r="X13" i="26" s="1"/>
  <c r="W13" i="26"/>
  <c r="DJ57" i="1"/>
  <c r="CJ30" i="26" s="1"/>
  <c r="CI30" i="26"/>
  <c r="DF57" i="1"/>
  <c r="BL30" i="26" s="1"/>
  <c r="BK30" i="26"/>
  <c r="DB57" i="1"/>
  <c r="AR30" i="26" s="1"/>
  <c r="AQ30" i="26"/>
  <c r="CX57" i="1"/>
  <c r="X30" i="26" s="1"/>
  <c r="W30" i="26"/>
  <c r="DI56" i="1"/>
  <c r="CB29" i="26" s="1"/>
  <c r="CA29" i="26"/>
  <c r="DE56" i="1"/>
  <c r="BH29" i="26" s="1"/>
  <c r="BG29" i="26"/>
  <c r="DA56" i="1"/>
  <c r="AN29" i="26" s="1"/>
  <c r="AM29" i="26"/>
  <c r="DL55" i="1"/>
  <c r="CR28" i="26" s="1"/>
  <c r="CQ28" i="26"/>
  <c r="DH55" i="1"/>
  <c r="BX28" i="26" s="1"/>
  <c r="BW28" i="26"/>
  <c r="DD55" i="1"/>
  <c r="BD28" i="26" s="1"/>
  <c r="BC28" i="26"/>
  <c r="CZ55" i="1"/>
  <c r="AF28" i="26" s="1"/>
  <c r="AE28" i="26"/>
  <c r="CN27" i="26"/>
  <c r="CM27" i="26"/>
  <c r="BT27" i="26"/>
  <c r="BS27" i="26"/>
  <c r="AV27" i="26"/>
  <c r="AU27" i="26"/>
  <c r="AB27" i="26"/>
  <c r="AA27" i="26"/>
  <c r="DK53" i="1"/>
  <c r="CN26" i="26" s="1"/>
  <c r="CM26" i="26"/>
  <c r="DG53" i="1"/>
  <c r="BT26" i="26" s="1"/>
  <c r="BS26" i="26"/>
  <c r="DC53" i="1"/>
  <c r="AV26" i="26" s="1"/>
  <c r="AU26" i="26"/>
  <c r="CY53" i="1"/>
  <c r="AB26" i="26" s="1"/>
  <c r="AA26" i="26"/>
  <c r="DI52" i="1"/>
  <c r="CB25" i="26" s="1"/>
  <c r="CA25" i="26"/>
  <c r="DE52" i="1"/>
  <c r="BH25" i="26" s="1"/>
  <c r="BG25" i="26"/>
  <c r="DA52" i="1"/>
  <c r="AN25" i="26" s="1"/>
  <c r="AM25" i="26"/>
  <c r="CW52" i="1"/>
  <c r="G25" i="26"/>
  <c r="DJ51" i="1"/>
  <c r="CJ24" i="26" s="1"/>
  <c r="CI24" i="26"/>
  <c r="DB51" i="1"/>
  <c r="AR24" i="26" s="1"/>
  <c r="AQ24" i="26"/>
  <c r="CX51" i="1"/>
  <c r="X24" i="26" s="1"/>
  <c r="W24" i="26"/>
  <c r="DJ50" i="1"/>
  <c r="CJ23" i="26" s="1"/>
  <c r="CI23" i="26"/>
  <c r="DF50" i="1"/>
  <c r="BL23" i="26" s="1"/>
  <c r="BK23" i="26"/>
  <c r="DB50" i="1"/>
  <c r="AR23" i="26" s="1"/>
  <c r="AQ23" i="26"/>
  <c r="CX50" i="1"/>
  <c r="X23" i="26" s="1"/>
  <c r="W23" i="26"/>
  <c r="DI49" i="1"/>
  <c r="CB22" i="26" s="1"/>
  <c r="CA22" i="26"/>
  <c r="DE49" i="1"/>
  <c r="BH22" i="26" s="1"/>
  <c r="BG22" i="26"/>
  <c r="DA49" i="1"/>
  <c r="AN22" i="26" s="1"/>
  <c r="AM22" i="26"/>
  <c r="CW49" i="1"/>
  <c r="H22" i="26" s="1"/>
  <c r="G22" i="26"/>
  <c r="DI48" i="1"/>
  <c r="CB21" i="26" s="1"/>
  <c r="CA21" i="26"/>
  <c r="DE48" i="1"/>
  <c r="BH21" i="26" s="1"/>
  <c r="BG21" i="26"/>
  <c r="DA48" i="1"/>
  <c r="AN21" i="26" s="1"/>
  <c r="AM21" i="26"/>
  <c r="CW48" i="1"/>
  <c r="H21" i="26" s="1"/>
  <c r="G21" i="26"/>
  <c r="DL47" i="1"/>
  <c r="CR20" i="26" s="1"/>
  <c r="CQ20" i="26"/>
  <c r="DH47" i="1"/>
  <c r="BX20" i="26" s="1"/>
  <c r="BW20" i="26"/>
  <c r="DD47" i="1"/>
  <c r="BD20" i="26" s="1"/>
  <c r="BC20" i="26"/>
  <c r="CZ47" i="1"/>
  <c r="AF20" i="26" s="1"/>
  <c r="AE20" i="26"/>
  <c r="DL46" i="1"/>
  <c r="CR19" i="26" s="1"/>
  <c r="CQ19" i="26"/>
  <c r="DH46" i="1"/>
  <c r="BX19" i="26" s="1"/>
  <c r="BW19" i="26"/>
  <c r="DD46" i="1"/>
  <c r="BD19" i="26" s="1"/>
  <c r="BC19" i="26"/>
  <c r="CZ46" i="1"/>
  <c r="AF19" i="26" s="1"/>
  <c r="AE19" i="26"/>
  <c r="DL45" i="1"/>
  <c r="CR18" i="26" s="1"/>
  <c r="CQ18" i="26"/>
  <c r="DH45" i="1"/>
  <c r="BX18" i="26" s="1"/>
  <c r="BW18" i="26"/>
  <c r="DD45" i="1"/>
  <c r="BD18" i="26" s="1"/>
  <c r="BC18" i="26"/>
  <c r="CZ45" i="1"/>
  <c r="AF18" i="26" s="1"/>
  <c r="AE18" i="26"/>
  <c r="DK44" i="1"/>
  <c r="CN17" i="26" s="1"/>
  <c r="CM17" i="26"/>
  <c r="DG44" i="1"/>
  <c r="BT17" i="26" s="1"/>
  <c r="BS17" i="26"/>
  <c r="DC44" i="1"/>
  <c r="AV17" i="26" s="1"/>
  <c r="AU17" i="26"/>
  <c r="CY44" i="1"/>
  <c r="AB17" i="26" s="1"/>
  <c r="AA17" i="26"/>
  <c r="DK43" i="1"/>
  <c r="CN16" i="26" s="1"/>
  <c r="CM16" i="26"/>
  <c r="DG43" i="1"/>
  <c r="BT16" i="26" s="1"/>
  <c r="BS16" i="26"/>
  <c r="DC43" i="1"/>
  <c r="AV16" i="26" s="1"/>
  <c r="AU16" i="26"/>
  <c r="CY43" i="1"/>
  <c r="AB16" i="26" s="1"/>
  <c r="AA16" i="26"/>
  <c r="DI42" i="1"/>
  <c r="CB15" i="26" s="1"/>
  <c r="CA15" i="26"/>
  <c r="DE42" i="1"/>
  <c r="BH15" i="26" s="1"/>
  <c r="BG15" i="26"/>
  <c r="DA42" i="1"/>
  <c r="AN15" i="26" s="1"/>
  <c r="AM15" i="26"/>
  <c r="DI41" i="1"/>
  <c r="CB14" i="26" s="1"/>
  <c r="CA14" i="26"/>
  <c r="DE41" i="1"/>
  <c r="BH14" i="26" s="1"/>
  <c r="BG14" i="26"/>
  <c r="DA41" i="1"/>
  <c r="AN14" i="26" s="1"/>
  <c r="AM14" i="26"/>
  <c r="DI40" i="1"/>
  <c r="CB13" i="26" s="1"/>
  <c r="CA13" i="26"/>
  <c r="DE40" i="1"/>
  <c r="BH13" i="26" s="1"/>
  <c r="BG13" i="26"/>
  <c r="DA40" i="1"/>
  <c r="AN13" i="26" s="1"/>
  <c r="AM13" i="26"/>
  <c r="DI57" i="1"/>
  <c r="CB30" i="26" s="1"/>
  <c r="CA30" i="26"/>
  <c r="DE57" i="1"/>
  <c r="BH30" i="26" s="1"/>
  <c r="BG30" i="26"/>
  <c r="DA57" i="1"/>
  <c r="AN30" i="26" s="1"/>
  <c r="AM30" i="26"/>
  <c r="DL56" i="1"/>
  <c r="CR29" i="26" s="1"/>
  <c r="CQ29" i="26"/>
  <c r="DH56" i="1"/>
  <c r="BX29" i="26" s="1"/>
  <c r="BW29" i="26"/>
  <c r="DD56" i="1"/>
  <c r="BD29" i="26" s="1"/>
  <c r="BC29" i="26"/>
  <c r="CZ56" i="1"/>
  <c r="AF29" i="26" s="1"/>
  <c r="AE29" i="26"/>
  <c r="DK55" i="1"/>
  <c r="CN28" i="26" s="1"/>
  <c r="CM28" i="26"/>
  <c r="DG55" i="1"/>
  <c r="BT28" i="26" s="1"/>
  <c r="BS28" i="26"/>
  <c r="DC55" i="1"/>
  <c r="AV28" i="26" s="1"/>
  <c r="AU28" i="26"/>
  <c r="CY55" i="1"/>
  <c r="AB28" i="26" s="1"/>
  <c r="AA28" i="26"/>
  <c r="CJ27" i="26"/>
  <c r="CI27" i="26"/>
  <c r="BL27" i="26"/>
  <c r="BK27" i="26"/>
  <c r="AR27" i="26"/>
  <c r="AQ27" i="26"/>
  <c r="X27" i="26"/>
  <c r="W27" i="26"/>
  <c r="DF53" i="1"/>
  <c r="BL26" i="26" s="1"/>
  <c r="BK26" i="26"/>
  <c r="DB53" i="1"/>
  <c r="AR26" i="26" s="1"/>
  <c r="AQ26" i="26"/>
  <c r="CX53" i="1"/>
  <c r="X26" i="26" s="1"/>
  <c r="W26" i="26"/>
  <c r="DL52" i="1"/>
  <c r="CR25" i="26" s="1"/>
  <c r="CQ25" i="26"/>
  <c r="DH52" i="1"/>
  <c r="BX25" i="26" s="1"/>
  <c r="BW25" i="26"/>
  <c r="DD52" i="1"/>
  <c r="BD25" i="26" s="1"/>
  <c r="BC25" i="26"/>
  <c r="CZ52" i="1"/>
  <c r="AF25" i="26" s="1"/>
  <c r="AE25" i="26"/>
  <c r="DI51" i="1"/>
  <c r="CB24" i="26" s="1"/>
  <c r="CA24" i="26"/>
  <c r="DE51" i="1"/>
  <c r="BH24" i="26" s="1"/>
  <c r="BG24" i="26"/>
  <c r="DA51" i="1"/>
  <c r="AN24" i="26" s="1"/>
  <c r="AM24" i="26"/>
  <c r="CW51" i="1"/>
  <c r="H24" i="26" s="1"/>
  <c r="G24" i="26"/>
  <c r="DI50" i="1"/>
  <c r="CB23" i="26" s="1"/>
  <c r="CA23" i="26"/>
  <c r="DE50" i="1"/>
  <c r="BH23" i="26" s="1"/>
  <c r="BG23" i="26"/>
  <c r="DA50" i="1"/>
  <c r="AN23" i="26" s="1"/>
  <c r="AM23" i="26"/>
  <c r="CW50" i="1"/>
  <c r="H23" i="26" s="1"/>
  <c r="G23" i="26"/>
  <c r="DL49" i="1"/>
  <c r="CR22" i="26" s="1"/>
  <c r="CQ22" i="26"/>
  <c r="DH49" i="1"/>
  <c r="BX22" i="26" s="1"/>
  <c r="BW22" i="26"/>
  <c r="DD49" i="1"/>
  <c r="BD22" i="26" s="1"/>
  <c r="BC22" i="26"/>
  <c r="CZ49" i="1"/>
  <c r="AF22" i="26" s="1"/>
  <c r="AE22" i="26"/>
  <c r="DL48" i="1"/>
  <c r="CR21" i="26" s="1"/>
  <c r="CQ21" i="26"/>
  <c r="DD48" i="1"/>
  <c r="BD21" i="26" s="1"/>
  <c r="BC21" i="26"/>
  <c r="CZ48" i="1"/>
  <c r="AF21" i="26" s="1"/>
  <c r="AE21" i="26"/>
  <c r="DK47" i="1"/>
  <c r="CN20" i="26" s="1"/>
  <c r="CM20" i="26"/>
  <c r="DG47" i="1"/>
  <c r="BT20" i="26" s="1"/>
  <c r="BS20" i="26"/>
  <c r="DC47" i="1"/>
  <c r="AV20" i="26" s="1"/>
  <c r="AU20" i="26"/>
  <c r="CY47" i="1"/>
  <c r="AB20" i="26" s="1"/>
  <c r="AA20" i="26"/>
  <c r="DK46" i="1"/>
  <c r="CN19" i="26" s="1"/>
  <c r="CM19" i="26"/>
  <c r="DG46" i="1"/>
  <c r="BT19" i="26" s="1"/>
  <c r="BS19" i="26"/>
  <c r="DC46" i="1"/>
  <c r="AV19" i="26" s="1"/>
  <c r="AU19" i="26"/>
  <c r="CY46" i="1"/>
  <c r="AB19" i="26" s="1"/>
  <c r="AA19" i="26"/>
  <c r="DK45" i="1"/>
  <c r="CN18" i="26" s="1"/>
  <c r="CM18" i="26"/>
  <c r="DG45" i="1"/>
  <c r="BT18" i="26" s="1"/>
  <c r="BS18" i="26"/>
  <c r="DC45" i="1"/>
  <c r="AV18" i="26" s="1"/>
  <c r="AU18" i="26"/>
  <c r="CY45" i="1"/>
  <c r="AB18" i="26" s="1"/>
  <c r="AA18" i="26"/>
  <c r="DJ44" i="1"/>
  <c r="CJ17" i="26" s="1"/>
  <c r="CI17" i="26"/>
  <c r="BL17" i="26"/>
  <c r="BK17" i="26"/>
  <c r="DB44" i="1"/>
  <c r="AR17" i="26" s="1"/>
  <c r="AQ17" i="26"/>
  <c r="CX44" i="1"/>
  <c r="X17" i="26" s="1"/>
  <c r="W17" i="26"/>
  <c r="DJ43" i="1"/>
  <c r="CJ16" i="26" s="1"/>
  <c r="CI16" i="26"/>
  <c r="DF43" i="1"/>
  <c r="BL16" i="26" s="1"/>
  <c r="BK16" i="26"/>
  <c r="DB43" i="1"/>
  <c r="AR16" i="26" s="1"/>
  <c r="AQ16" i="26"/>
  <c r="CX43" i="1"/>
  <c r="X16" i="26" s="1"/>
  <c r="W16" i="26"/>
  <c r="DL42" i="1"/>
  <c r="CR15" i="26" s="1"/>
  <c r="CQ15" i="26"/>
  <c r="DD42" i="1"/>
  <c r="BD15" i="26" s="1"/>
  <c r="BC15" i="26"/>
  <c r="CZ42" i="1"/>
  <c r="AF15" i="26" s="1"/>
  <c r="AE15" i="26"/>
  <c r="DL41" i="1"/>
  <c r="CR14" i="26" s="1"/>
  <c r="CQ14" i="26"/>
  <c r="DH41" i="1"/>
  <c r="BX14" i="26" s="1"/>
  <c r="BW14" i="26"/>
  <c r="DD41" i="1"/>
  <c r="BD14" i="26" s="1"/>
  <c r="BC14" i="26"/>
  <c r="CZ41" i="1"/>
  <c r="AF14" i="26" s="1"/>
  <c r="AE14" i="26"/>
  <c r="DL40" i="1"/>
  <c r="CR13" i="26" s="1"/>
  <c r="CQ13" i="26"/>
  <c r="DH40" i="1"/>
  <c r="BX13" i="26" s="1"/>
  <c r="BW13" i="26"/>
  <c r="DD40" i="1"/>
  <c r="BD13" i="26" s="1"/>
  <c r="BC13" i="26"/>
  <c r="CZ40" i="1"/>
  <c r="AF13" i="26" s="1"/>
  <c r="AE13" i="26"/>
  <c r="DL57" i="1"/>
  <c r="CR30" i="26" s="1"/>
  <c r="CQ30" i="26"/>
  <c r="DH57" i="1"/>
  <c r="BX30" i="26" s="1"/>
  <c r="BW30" i="26"/>
  <c r="DD57" i="1"/>
  <c r="BD30" i="26" s="1"/>
  <c r="BC30" i="26"/>
  <c r="CZ57" i="1"/>
  <c r="AF30" i="26" s="1"/>
  <c r="AE30" i="26"/>
  <c r="DK56" i="1"/>
  <c r="CN29" i="26" s="1"/>
  <c r="CM29" i="26"/>
  <c r="DG56" i="1"/>
  <c r="BT29" i="26" s="1"/>
  <c r="BS29" i="26"/>
  <c r="DC56" i="1"/>
  <c r="AV29" i="26" s="1"/>
  <c r="AU29" i="26"/>
  <c r="CY56" i="1"/>
  <c r="AB29" i="26" s="1"/>
  <c r="AA29" i="26"/>
  <c r="DJ55" i="1"/>
  <c r="CJ28" i="26" s="1"/>
  <c r="CI28" i="26"/>
  <c r="DF55" i="1"/>
  <c r="BL28" i="26" s="1"/>
  <c r="BK28" i="26"/>
  <c r="DB55" i="1"/>
  <c r="AR28" i="26" s="1"/>
  <c r="AQ28" i="26"/>
  <c r="CX55" i="1"/>
  <c r="X28" i="26" s="1"/>
  <c r="W28" i="26"/>
  <c r="CB27" i="26"/>
  <c r="CA27" i="26"/>
  <c r="BH27" i="26"/>
  <c r="BG27" i="26"/>
  <c r="AN27" i="26"/>
  <c r="AM27" i="26"/>
  <c r="H27" i="26"/>
  <c r="G27" i="26"/>
  <c r="DI53" i="1"/>
  <c r="CB26" i="26" s="1"/>
  <c r="CA26" i="26"/>
  <c r="DE53" i="1"/>
  <c r="BH26" i="26" s="1"/>
  <c r="BG26" i="26"/>
  <c r="DA53" i="1"/>
  <c r="AN26" i="26" s="1"/>
  <c r="AM26" i="26"/>
  <c r="CW53" i="1"/>
  <c r="H26" i="26" s="1"/>
  <c r="G26" i="26"/>
  <c r="DK52" i="1"/>
  <c r="CN25" i="26" s="1"/>
  <c r="CM25" i="26"/>
  <c r="DG52" i="1"/>
  <c r="BT25" i="26" s="1"/>
  <c r="BS25" i="26"/>
  <c r="DC52" i="1"/>
  <c r="AV25" i="26" s="1"/>
  <c r="AU25" i="26"/>
  <c r="DL51" i="1"/>
  <c r="CR24" i="26" s="1"/>
  <c r="CQ24" i="26"/>
  <c r="DH51" i="1"/>
  <c r="BX24" i="26" s="1"/>
  <c r="BW24" i="26"/>
  <c r="DD51" i="1"/>
  <c r="BD24" i="26" s="1"/>
  <c r="BC24" i="26"/>
  <c r="CZ51" i="1"/>
  <c r="AF24" i="26" s="1"/>
  <c r="AE24" i="26"/>
  <c r="DL50" i="1"/>
  <c r="CR23" i="26" s="1"/>
  <c r="CQ23" i="26"/>
  <c r="DH50" i="1"/>
  <c r="BX23" i="26" s="1"/>
  <c r="BW23" i="26"/>
  <c r="DD50" i="1"/>
  <c r="BD23" i="26" s="1"/>
  <c r="BC23" i="26"/>
  <c r="CZ50" i="1"/>
  <c r="AF23" i="26" s="1"/>
  <c r="AE23" i="26"/>
  <c r="DK49" i="1"/>
  <c r="CN22" i="26" s="1"/>
  <c r="CM22" i="26"/>
  <c r="DG49" i="1"/>
  <c r="BT22" i="26" s="1"/>
  <c r="BS22" i="26"/>
  <c r="DC49" i="1"/>
  <c r="AV22" i="26" s="1"/>
  <c r="AU22" i="26"/>
  <c r="CY49" i="1"/>
  <c r="AB22" i="26" s="1"/>
  <c r="AA22" i="26"/>
  <c r="DK48" i="1"/>
  <c r="CN21" i="26" s="1"/>
  <c r="CM21" i="26"/>
  <c r="DG48" i="1"/>
  <c r="BT21" i="26" s="1"/>
  <c r="BS21" i="26"/>
  <c r="DC48" i="1"/>
  <c r="AV21" i="26" s="1"/>
  <c r="AU21" i="26"/>
  <c r="CY48" i="1"/>
  <c r="AB21" i="26" s="1"/>
  <c r="AA21" i="26"/>
  <c r="DJ47" i="1"/>
  <c r="CJ20" i="26" s="1"/>
  <c r="CI20" i="26"/>
  <c r="DF47" i="1"/>
  <c r="BL20" i="26" s="1"/>
  <c r="BK20" i="26"/>
  <c r="DB47" i="1"/>
  <c r="AR20" i="26" s="1"/>
  <c r="AQ20" i="26"/>
  <c r="CX47" i="1"/>
  <c r="X20" i="26" s="1"/>
  <c r="W20" i="26"/>
  <c r="DJ46" i="1"/>
  <c r="CJ19" i="26" s="1"/>
  <c r="CI19" i="26"/>
  <c r="DF46" i="1"/>
  <c r="BL19" i="26" s="1"/>
  <c r="BK19" i="26"/>
  <c r="DB46" i="1"/>
  <c r="AR19" i="26" s="1"/>
  <c r="AQ19" i="26"/>
  <c r="CX46" i="1"/>
  <c r="X19" i="26" s="1"/>
  <c r="W19" i="26"/>
  <c r="DJ45" i="1"/>
  <c r="CJ18" i="26" s="1"/>
  <c r="CI18" i="26"/>
  <c r="DF45" i="1"/>
  <c r="BL18" i="26" s="1"/>
  <c r="BK18" i="26"/>
  <c r="DB45" i="1"/>
  <c r="AR18" i="26" s="1"/>
  <c r="AQ18" i="26"/>
  <c r="CX45" i="1"/>
  <c r="X18" i="26" s="1"/>
  <c r="W18" i="26"/>
  <c r="DI44" i="1"/>
  <c r="CB17" i="26" s="1"/>
  <c r="CA17" i="26"/>
  <c r="DE44" i="1"/>
  <c r="BH17" i="26" s="1"/>
  <c r="BG17" i="26"/>
  <c r="DA44" i="1"/>
  <c r="AN17" i="26" s="1"/>
  <c r="AM17" i="26"/>
  <c r="DI43" i="1"/>
  <c r="CB16" i="26" s="1"/>
  <c r="CA16" i="26"/>
  <c r="DA43" i="1"/>
  <c r="AN16" i="26" s="1"/>
  <c r="AM16" i="26"/>
  <c r="DK42" i="1"/>
  <c r="CN15" i="26" s="1"/>
  <c r="CM15" i="26"/>
  <c r="DG42" i="1"/>
  <c r="BT15" i="26" s="1"/>
  <c r="BS15" i="26"/>
  <c r="DC42" i="1"/>
  <c r="AV15" i="26" s="1"/>
  <c r="AU15" i="26"/>
  <c r="CY42" i="1"/>
  <c r="AB15" i="26" s="1"/>
  <c r="AA15" i="26"/>
  <c r="DK41" i="1"/>
  <c r="CN14" i="26" s="1"/>
  <c r="CM14" i="26"/>
  <c r="DG41" i="1"/>
  <c r="BT14" i="26" s="1"/>
  <c r="BS14" i="26"/>
  <c r="DC41" i="1"/>
  <c r="AV14" i="26" s="1"/>
  <c r="AU14" i="26"/>
  <c r="CY41" i="1"/>
  <c r="AB14" i="26" s="1"/>
  <c r="AA14" i="26"/>
  <c r="DK40" i="1"/>
  <c r="CN13" i="26" s="1"/>
  <c r="CM13" i="26"/>
  <c r="DG40" i="1"/>
  <c r="BT13" i="26" s="1"/>
  <c r="BS13" i="26"/>
  <c r="DC40" i="1"/>
  <c r="AV13" i="26" s="1"/>
  <c r="AU13" i="26"/>
  <c r="CY40" i="1"/>
  <c r="AB13" i="26" s="1"/>
  <c r="AA13" i="26"/>
  <c r="CJ19" i="24"/>
  <c r="CR24" i="24"/>
  <c r="DU38" i="1"/>
  <c r="BT32" i="24" s="1"/>
  <c r="BS33" i="24"/>
  <c r="DM38" i="1"/>
  <c r="AF32" i="24" s="1"/>
  <c r="AE33" i="24"/>
  <c r="DY37" i="1"/>
  <c r="CQ31" i="24"/>
  <c r="DM37" i="1"/>
  <c r="AE31" i="24"/>
  <c r="CQ30" i="24"/>
  <c r="DQ36" i="1"/>
  <c r="AY30" i="24"/>
  <c r="DX35" i="1"/>
  <c r="CI29" i="24"/>
  <c r="DP35" i="1"/>
  <c r="AU29" i="24"/>
  <c r="DS34" i="1"/>
  <c r="BK28" i="24"/>
  <c r="DO34" i="1"/>
  <c r="AM28" i="24"/>
  <c r="DW33" i="1"/>
  <c r="CE27" i="24"/>
  <c r="DO33" i="1"/>
  <c r="AM27" i="24"/>
  <c r="DT32" i="1"/>
  <c r="BO26" i="24"/>
  <c r="DX31" i="1"/>
  <c r="CI25" i="24"/>
  <c r="DP31" i="1"/>
  <c r="AU25" i="24"/>
  <c r="DU30" i="1"/>
  <c r="BS24" i="24"/>
  <c r="AE24" i="24"/>
  <c r="CW30" i="1"/>
  <c r="G24" i="24"/>
  <c r="DV29" i="1"/>
  <c r="CA23" i="24"/>
  <c r="DN29" i="1"/>
  <c r="AI23" i="24"/>
  <c r="DU28" i="1"/>
  <c r="BS22" i="24"/>
  <c r="DM28" i="1"/>
  <c r="AE22" i="24"/>
  <c r="CW28" i="1"/>
  <c r="G22" i="24"/>
  <c r="DT27" i="1"/>
  <c r="BO21" i="24"/>
  <c r="DY26" i="1"/>
  <c r="CQ20" i="24"/>
  <c r="DQ26" i="1"/>
  <c r="AY20" i="24"/>
  <c r="DZ25" i="1"/>
  <c r="CU19" i="24"/>
  <c r="BD19" i="24"/>
  <c r="DU24" i="1"/>
  <c r="BS18" i="24"/>
  <c r="DM24" i="1"/>
  <c r="AE18" i="24"/>
  <c r="CW24" i="1"/>
  <c r="G18" i="26"/>
  <c r="G18" i="24"/>
  <c r="BD17" i="24"/>
  <c r="EA22" i="1"/>
  <c r="CY16" i="24"/>
  <c r="DS22" i="1"/>
  <c r="BK16" i="24"/>
  <c r="DX21" i="1"/>
  <c r="CI15" i="24"/>
  <c r="DP21" i="1"/>
  <c r="AU15" i="24"/>
  <c r="EA20" i="1"/>
  <c r="CY14" i="24"/>
  <c r="DN19" i="1"/>
  <c r="CU13" i="24"/>
  <c r="DX38" i="1"/>
  <c r="CJ32" i="24" s="1"/>
  <c r="CI33" i="24"/>
  <c r="DT38" i="1"/>
  <c r="BP32" i="24" s="1"/>
  <c r="BO33" i="24"/>
  <c r="DP38" i="1"/>
  <c r="AV32" i="24" s="1"/>
  <c r="AU33" i="24"/>
  <c r="DX37" i="1"/>
  <c r="CI31" i="24"/>
  <c r="DT37" i="1"/>
  <c r="BO31" i="24"/>
  <c r="DP37" i="1"/>
  <c r="AU31" i="24"/>
  <c r="DY36" i="1"/>
  <c r="DX36" i="1"/>
  <c r="CI30" i="24"/>
  <c r="DT36" i="1"/>
  <c r="BO30" i="24"/>
  <c r="DP36" i="1"/>
  <c r="AU30" i="24"/>
  <c r="EA35" i="1"/>
  <c r="CY29" i="24"/>
  <c r="DW35" i="1"/>
  <c r="CE29" i="24"/>
  <c r="DS35" i="1"/>
  <c r="BK29" i="24"/>
  <c r="DO35" i="1"/>
  <c r="AM29" i="24"/>
  <c r="DZ34" i="1"/>
  <c r="CU28" i="24"/>
  <c r="DV34" i="1"/>
  <c r="CA28" i="24"/>
  <c r="BD28" i="24"/>
  <c r="DN34" i="1"/>
  <c r="AI28" i="24"/>
  <c r="DZ33" i="1"/>
  <c r="CU27" i="24"/>
  <c r="DV33" i="1"/>
  <c r="CA27" i="24"/>
  <c r="BD27" i="24"/>
  <c r="DN33" i="1"/>
  <c r="AI27" i="24"/>
  <c r="EA32" i="1"/>
  <c r="CY26" i="24"/>
  <c r="DW32" i="1"/>
  <c r="CE26" i="24"/>
  <c r="DS32" i="1"/>
  <c r="BK26" i="24"/>
  <c r="AM26" i="24"/>
  <c r="EA31" i="1"/>
  <c r="CY25" i="24"/>
  <c r="DW31" i="1"/>
  <c r="CE25" i="24"/>
  <c r="DS31" i="1"/>
  <c r="BK25" i="24"/>
  <c r="DO31" i="1"/>
  <c r="AM25" i="24"/>
  <c r="DM30" i="1"/>
  <c r="DX30" i="1"/>
  <c r="CI24" i="24"/>
  <c r="DT30" i="1"/>
  <c r="BO24" i="24"/>
  <c r="DP30" i="1"/>
  <c r="AU24" i="24"/>
  <c r="BT23" i="24"/>
  <c r="DY29" i="1"/>
  <c r="CQ23" i="24"/>
  <c r="BS23" i="24"/>
  <c r="DQ29" i="1"/>
  <c r="AY23" i="24"/>
  <c r="AE23" i="24"/>
  <c r="CW29" i="1"/>
  <c r="G23" i="24"/>
  <c r="DX28" i="1"/>
  <c r="CI22" i="24"/>
  <c r="DT28" i="1"/>
  <c r="BO22" i="24"/>
  <c r="DP28" i="1"/>
  <c r="AU22" i="24"/>
  <c r="EA27" i="1"/>
  <c r="CY21" i="24"/>
  <c r="DW27" i="1"/>
  <c r="CE21" i="24"/>
  <c r="DS27" i="1"/>
  <c r="BK21" i="24"/>
  <c r="DO27" i="1"/>
  <c r="AM21" i="24"/>
  <c r="DX26" i="1"/>
  <c r="CI20" i="24"/>
  <c r="DT26" i="1"/>
  <c r="BO20" i="24"/>
  <c r="DP26" i="1"/>
  <c r="AU20" i="24"/>
  <c r="DY25" i="1"/>
  <c r="CQ19" i="24"/>
  <c r="DU25" i="1"/>
  <c r="BS19" i="24"/>
  <c r="DQ25" i="1"/>
  <c r="AY19" i="24"/>
  <c r="DM25" i="1"/>
  <c r="AE19" i="24"/>
  <c r="CW25" i="1"/>
  <c r="G19" i="26"/>
  <c r="G19" i="24"/>
  <c r="DX24" i="1"/>
  <c r="CI18" i="24"/>
  <c r="DT24" i="1"/>
  <c r="BO18" i="24"/>
  <c r="DP24" i="1"/>
  <c r="AU18" i="24"/>
  <c r="DY23" i="1"/>
  <c r="CQ17" i="24"/>
  <c r="DU23" i="1"/>
  <c r="BS17" i="24"/>
  <c r="DQ23" i="1"/>
  <c r="AY17" i="24"/>
  <c r="DM23" i="1"/>
  <c r="AE17" i="24"/>
  <c r="CW23" i="1"/>
  <c r="G17" i="26"/>
  <c r="G17" i="24"/>
  <c r="DZ22" i="1"/>
  <c r="CU16" i="24"/>
  <c r="DV22" i="1"/>
  <c r="CA16" i="24"/>
  <c r="BD16" i="24"/>
  <c r="DN22" i="1"/>
  <c r="AI16" i="24"/>
  <c r="EA21" i="1"/>
  <c r="CY15" i="24"/>
  <c r="DW21" i="1"/>
  <c r="CE15" i="24"/>
  <c r="DS21" i="1"/>
  <c r="BK15" i="24"/>
  <c r="DO21" i="1"/>
  <c r="AM15" i="24"/>
  <c r="DZ20" i="1"/>
  <c r="CU14" i="24"/>
  <c r="DV20" i="1"/>
  <c r="CA14" i="24"/>
  <c r="BD14" i="24"/>
  <c r="DN20" i="1"/>
  <c r="AI14" i="24"/>
  <c r="DY19" i="1"/>
  <c r="DU19" i="1"/>
  <c r="DQ19" i="1"/>
  <c r="DM19" i="1"/>
  <c r="CW19" i="1"/>
  <c r="H14" i="26" s="1"/>
  <c r="G14" i="26"/>
  <c r="H13" i="26"/>
  <c r="G13" i="26"/>
  <c r="CQ13" i="24"/>
  <c r="AE13" i="24"/>
  <c r="G13" i="24"/>
  <c r="DY38" i="1"/>
  <c r="CR32" i="24" s="1"/>
  <c r="CQ33" i="24"/>
  <c r="DQ38" i="1"/>
  <c r="AZ32" i="24" s="1"/>
  <c r="AY33" i="24"/>
  <c r="CW38" i="1"/>
  <c r="H32" i="24" s="1"/>
  <c r="G33" i="24"/>
  <c r="DU37" i="1"/>
  <c r="BS31" i="24"/>
  <c r="DQ37" i="1"/>
  <c r="AY31" i="24"/>
  <c r="CW37" i="1"/>
  <c r="G31" i="24"/>
  <c r="DU36" i="1"/>
  <c r="BS30" i="24"/>
  <c r="DM36" i="1"/>
  <c r="AE30" i="24"/>
  <c r="CW36" i="1"/>
  <c r="G30" i="26"/>
  <c r="G30" i="24"/>
  <c r="DT35" i="1"/>
  <c r="BO29" i="24"/>
  <c r="EA34" i="1"/>
  <c r="CY28" i="24"/>
  <c r="DW34" i="1"/>
  <c r="CE28" i="24"/>
  <c r="EA33" i="1"/>
  <c r="CY27" i="24"/>
  <c r="DS33" i="1"/>
  <c r="BK27" i="24"/>
  <c r="DX32" i="1"/>
  <c r="CI26" i="24"/>
  <c r="DP32" i="1"/>
  <c r="AU26" i="24"/>
  <c r="DT31" i="1"/>
  <c r="BO25" i="24"/>
  <c r="CQ24" i="24"/>
  <c r="DQ30" i="1"/>
  <c r="AY24" i="24"/>
  <c r="DZ29" i="1"/>
  <c r="CU23" i="24"/>
  <c r="BD23" i="24"/>
  <c r="DY28" i="1"/>
  <c r="CQ22" i="24"/>
  <c r="DQ28" i="1"/>
  <c r="AY22" i="24"/>
  <c r="DX27" i="1"/>
  <c r="CI21" i="24"/>
  <c r="DP27" i="1"/>
  <c r="AU21" i="24"/>
  <c r="DU26" i="1"/>
  <c r="BS20" i="24"/>
  <c r="DM26" i="1"/>
  <c r="AE20" i="24"/>
  <c r="CW26" i="1"/>
  <c r="G20" i="24"/>
  <c r="DV25" i="1"/>
  <c r="CA19" i="24"/>
  <c r="DN25" i="1"/>
  <c r="AI19" i="24"/>
  <c r="DY24" i="1"/>
  <c r="CQ18" i="24"/>
  <c r="DQ24" i="1"/>
  <c r="AY18" i="24"/>
  <c r="DZ23" i="1"/>
  <c r="CU17" i="24"/>
  <c r="DV23" i="1"/>
  <c r="CA17" i="24"/>
  <c r="DN23" i="1"/>
  <c r="AI17" i="24"/>
  <c r="DW22" i="1"/>
  <c r="CE16" i="24"/>
  <c r="DO22" i="1"/>
  <c r="AM16" i="24"/>
  <c r="DT21" i="1"/>
  <c r="BO15" i="24"/>
  <c r="DW20" i="1"/>
  <c r="CE14" i="24"/>
  <c r="DS20" i="1"/>
  <c r="BK14" i="24"/>
  <c r="DO20" i="1"/>
  <c r="AM14" i="24"/>
  <c r="DZ19" i="1"/>
  <c r="DV19" i="1"/>
  <c r="CA13" i="24"/>
  <c r="AI13" i="24"/>
  <c r="EA38" i="1"/>
  <c r="CZ32" i="24" s="1"/>
  <c r="CY33" i="24"/>
  <c r="DW38" i="1"/>
  <c r="CF32" i="24" s="1"/>
  <c r="CE33" i="24"/>
  <c r="DS38" i="1"/>
  <c r="BL32" i="24" s="1"/>
  <c r="BK33" i="24"/>
  <c r="DO38" i="1"/>
  <c r="AN32" i="24" s="1"/>
  <c r="AM33" i="24"/>
  <c r="EA37" i="1"/>
  <c r="CY31" i="24"/>
  <c r="DW37" i="1"/>
  <c r="CE31" i="24"/>
  <c r="DS37" i="1"/>
  <c r="BK31" i="24"/>
  <c r="DO37" i="1"/>
  <c r="AM31" i="24"/>
  <c r="EA36" i="1"/>
  <c r="CY30" i="24"/>
  <c r="DW36" i="1"/>
  <c r="CE30" i="24"/>
  <c r="DS36" i="1"/>
  <c r="BK30" i="24"/>
  <c r="DO36" i="1"/>
  <c r="AM30" i="24"/>
  <c r="DZ35" i="1"/>
  <c r="CU29" i="24"/>
  <c r="DV35" i="1"/>
  <c r="CA29" i="24"/>
  <c r="BD29" i="24"/>
  <c r="DN35" i="1"/>
  <c r="AI29" i="24"/>
  <c r="DY34" i="1"/>
  <c r="CQ28" i="24"/>
  <c r="DU34" i="1"/>
  <c r="BS28" i="24"/>
  <c r="DQ34" i="1"/>
  <c r="AY28" i="24"/>
  <c r="DM34" i="1"/>
  <c r="AE28" i="24"/>
  <c r="CW34" i="1"/>
  <c r="G28" i="26"/>
  <c r="G28" i="24"/>
  <c r="DY33" i="1"/>
  <c r="CQ27" i="24"/>
  <c r="DU33" i="1"/>
  <c r="BS27" i="24"/>
  <c r="AY27" i="24"/>
  <c r="DM33" i="1"/>
  <c r="AE27" i="24"/>
  <c r="CW33" i="1"/>
  <c r="G27" i="24"/>
  <c r="DZ32" i="1"/>
  <c r="CU26" i="24"/>
  <c r="DV32" i="1"/>
  <c r="CA26" i="24"/>
  <c r="BD26" i="24"/>
  <c r="DN32" i="1"/>
  <c r="AI26" i="24"/>
  <c r="DZ31" i="1"/>
  <c r="CU25" i="24"/>
  <c r="DV31" i="1"/>
  <c r="CA25" i="24"/>
  <c r="BD25" i="24"/>
  <c r="DN31" i="1"/>
  <c r="AI25" i="24"/>
  <c r="EA30" i="1"/>
  <c r="CY24" i="24"/>
  <c r="DW30" i="1"/>
  <c r="CE24" i="24"/>
  <c r="DS30" i="1"/>
  <c r="BK24" i="24"/>
  <c r="DO30" i="1"/>
  <c r="AM24" i="24"/>
  <c r="AF23" i="24"/>
  <c r="DX29" i="1"/>
  <c r="CI23" i="24"/>
  <c r="DT29" i="1"/>
  <c r="BO23" i="24"/>
  <c r="DP29" i="1"/>
  <c r="AU23" i="24"/>
  <c r="EA28" i="1"/>
  <c r="CY22" i="24"/>
  <c r="DW28" i="1"/>
  <c r="CE22" i="24"/>
  <c r="DS28" i="1"/>
  <c r="BK22" i="24"/>
  <c r="DO28" i="1"/>
  <c r="AM22" i="24"/>
  <c r="DZ27" i="1"/>
  <c r="CU21" i="24"/>
  <c r="DV27" i="1"/>
  <c r="CA21" i="24"/>
  <c r="BD21" i="24"/>
  <c r="DN27" i="1"/>
  <c r="AI21" i="24"/>
  <c r="EA26" i="1"/>
  <c r="CY20" i="24"/>
  <c r="DW26" i="1"/>
  <c r="CE20" i="24"/>
  <c r="DS26" i="1"/>
  <c r="BK20" i="24"/>
  <c r="DO26" i="1"/>
  <c r="AM20" i="24"/>
  <c r="CI19" i="24"/>
  <c r="DT25" i="1"/>
  <c r="BO19" i="24"/>
  <c r="DP25" i="1"/>
  <c r="AU19" i="24"/>
  <c r="EA24" i="1"/>
  <c r="CY18" i="24"/>
  <c r="DW24" i="1"/>
  <c r="CE18" i="24"/>
  <c r="DS24" i="1"/>
  <c r="BK18" i="24"/>
  <c r="DO24" i="1"/>
  <c r="AM18" i="24"/>
  <c r="DX23" i="1"/>
  <c r="CI17" i="24"/>
  <c r="DT23" i="1"/>
  <c r="BO17" i="24"/>
  <c r="DP23" i="1"/>
  <c r="AU17" i="24"/>
  <c r="DY22" i="1"/>
  <c r="CQ16" i="24"/>
  <c r="DU22" i="1"/>
  <c r="BS16" i="24"/>
  <c r="DQ22" i="1"/>
  <c r="AY16" i="24"/>
  <c r="DM22" i="1"/>
  <c r="AE16" i="24"/>
  <c r="CW22" i="1"/>
  <c r="G16" i="24"/>
  <c r="DZ21" i="1"/>
  <c r="CU15" i="24"/>
  <c r="DV21" i="1"/>
  <c r="CA15" i="24"/>
  <c r="BD15" i="24"/>
  <c r="DN21" i="1"/>
  <c r="AI15" i="24"/>
  <c r="DY20" i="1"/>
  <c r="CQ14" i="24"/>
  <c r="DU20" i="1"/>
  <c r="BS14" i="24"/>
  <c r="DQ20" i="1"/>
  <c r="AY14" i="24"/>
  <c r="DM20" i="1"/>
  <c r="AE14" i="24"/>
  <c r="CW20" i="1"/>
  <c r="G15" i="26"/>
  <c r="G14" i="24"/>
  <c r="DX19" i="1"/>
  <c r="DT19" i="1"/>
  <c r="DP19" i="1"/>
  <c r="CI13" i="24"/>
  <c r="BO13" i="24"/>
  <c r="AU13" i="24"/>
  <c r="DZ38" i="1"/>
  <c r="CV32" i="24" s="1"/>
  <c r="CU33" i="24"/>
  <c r="DV38" i="1"/>
  <c r="CB32" i="24" s="1"/>
  <c r="CA33" i="24"/>
  <c r="BD33" i="24"/>
  <c r="DN38" i="1"/>
  <c r="AJ32" i="24" s="1"/>
  <c r="AI33" i="24"/>
  <c r="DZ37" i="1"/>
  <c r="CU31" i="24"/>
  <c r="DV37" i="1"/>
  <c r="CA31" i="24"/>
  <c r="BD31" i="24"/>
  <c r="DN37" i="1"/>
  <c r="AI31" i="24"/>
  <c r="DZ36" i="1"/>
  <c r="CU30" i="24"/>
  <c r="DV36" i="1"/>
  <c r="CA30" i="24"/>
  <c r="BD30" i="24"/>
  <c r="DN36" i="1"/>
  <c r="AI30" i="24"/>
  <c r="DY35" i="1"/>
  <c r="CQ29" i="24"/>
  <c r="DU35" i="1"/>
  <c r="BS29" i="24"/>
  <c r="DQ35" i="1"/>
  <c r="AY29" i="24"/>
  <c r="DM35" i="1"/>
  <c r="AE29" i="24"/>
  <c r="CW35" i="1"/>
  <c r="G29" i="26"/>
  <c r="G29" i="24"/>
  <c r="DX34" i="1"/>
  <c r="CI28" i="24"/>
  <c r="DT34" i="1"/>
  <c r="BO28" i="24"/>
  <c r="DP34" i="1"/>
  <c r="AU28" i="24"/>
  <c r="DQ33" i="1"/>
  <c r="DX33" i="1"/>
  <c r="CI27" i="24"/>
  <c r="DT33" i="1"/>
  <c r="BO27" i="24"/>
  <c r="DP33" i="1"/>
  <c r="AU27" i="24"/>
  <c r="DO32" i="1"/>
  <c r="DY32" i="1"/>
  <c r="CQ26" i="24"/>
  <c r="DU32" i="1"/>
  <c r="BS26" i="24"/>
  <c r="DQ32" i="1"/>
  <c r="AY26" i="24"/>
  <c r="DM32" i="1"/>
  <c r="AE26" i="24"/>
  <c r="CW32" i="1"/>
  <c r="G26" i="24"/>
  <c r="DY31" i="1"/>
  <c r="CQ25" i="24"/>
  <c r="DU31" i="1"/>
  <c r="BS25" i="24"/>
  <c r="DQ31" i="1"/>
  <c r="AY25" i="24"/>
  <c r="DM31" i="1"/>
  <c r="AE25" i="24"/>
  <c r="CW31" i="1"/>
  <c r="G25" i="24"/>
  <c r="DZ30" i="1"/>
  <c r="CU24" i="24"/>
  <c r="DV30" i="1"/>
  <c r="CA24" i="24"/>
  <c r="BD24" i="24"/>
  <c r="DN30" i="1"/>
  <c r="AI24" i="24"/>
  <c r="EA29" i="1"/>
  <c r="CY23" i="24"/>
  <c r="DW29" i="1"/>
  <c r="CE23" i="24"/>
  <c r="DS29" i="1"/>
  <c r="BK23" i="24"/>
  <c r="DO29" i="1"/>
  <c r="AM23" i="24"/>
  <c r="DZ28" i="1"/>
  <c r="CU22" i="24"/>
  <c r="DV28" i="1"/>
  <c r="CA22" i="24"/>
  <c r="BD22" i="24"/>
  <c r="DN28" i="1"/>
  <c r="AI22" i="24"/>
  <c r="DY27" i="1"/>
  <c r="CQ21" i="24"/>
  <c r="DU27" i="1"/>
  <c r="BS21" i="24"/>
  <c r="DQ27" i="1"/>
  <c r="AY21" i="24"/>
  <c r="DM27" i="1"/>
  <c r="AE21" i="24"/>
  <c r="CW27" i="1"/>
  <c r="G21" i="24"/>
  <c r="DZ26" i="1"/>
  <c r="CU20" i="24"/>
  <c r="DV26" i="1"/>
  <c r="CA20" i="24"/>
  <c r="BD20" i="24"/>
  <c r="DN26" i="1"/>
  <c r="AI20" i="24"/>
  <c r="EA25" i="1"/>
  <c r="CY19" i="24"/>
  <c r="DW25" i="1"/>
  <c r="CE19" i="24"/>
  <c r="DS25" i="1"/>
  <c r="BK19" i="24"/>
  <c r="DO25" i="1"/>
  <c r="AM19" i="24"/>
  <c r="DZ24" i="1"/>
  <c r="CU18" i="24"/>
  <c r="DV24" i="1"/>
  <c r="CA18" i="24"/>
  <c r="BD18" i="24"/>
  <c r="DN24" i="1"/>
  <c r="AI18" i="24"/>
  <c r="EA23" i="1"/>
  <c r="CY17" i="24"/>
  <c r="DW23" i="1"/>
  <c r="CE17" i="24"/>
  <c r="DS23" i="1"/>
  <c r="BK17" i="24"/>
  <c r="DO23" i="1"/>
  <c r="AM17" i="24"/>
  <c r="DX22" i="1"/>
  <c r="CI16" i="24"/>
  <c r="DT22" i="1"/>
  <c r="BO16" i="24"/>
  <c r="DP22" i="1"/>
  <c r="AU16" i="24"/>
  <c r="AF15" i="24"/>
  <c r="DY21" i="1"/>
  <c r="CQ15" i="24"/>
  <c r="DU21" i="1"/>
  <c r="BS15" i="24"/>
  <c r="DQ21" i="1"/>
  <c r="AY15" i="24"/>
  <c r="AE15" i="24"/>
  <c r="CW21" i="1"/>
  <c r="G15" i="24"/>
  <c r="G16" i="26"/>
  <c r="DX20" i="1"/>
  <c r="CI14" i="24"/>
  <c r="DT20" i="1"/>
  <c r="BO14" i="24"/>
  <c r="DP20" i="1"/>
  <c r="AU14" i="24"/>
  <c r="EA19" i="1"/>
  <c r="DW19" i="1"/>
  <c r="DS19" i="1"/>
  <c r="DO19" i="1"/>
  <c r="CY13" i="24"/>
  <c r="CE13" i="24"/>
  <c r="BK13" i="24"/>
  <c r="AM13" i="24"/>
  <c r="AV24" i="22"/>
  <c r="CN17" i="22"/>
  <c r="BT16" i="22"/>
  <c r="AV26" i="22"/>
  <c r="AV23" i="22"/>
  <c r="AV21" i="22"/>
  <c r="AV18" i="22"/>
  <c r="AF17" i="22"/>
  <c r="AV17" i="22"/>
  <c r="BL21" i="22"/>
  <c r="G21" i="22"/>
  <c r="CM28" i="22"/>
  <c r="AA28" i="22"/>
  <c r="AV19" i="22"/>
  <c r="BC15" i="22"/>
  <c r="AV14" i="22"/>
  <c r="BD13" i="24"/>
  <c r="CI13" i="20"/>
  <c r="BO13" i="20"/>
  <c r="AU15" i="20"/>
  <c r="CA28" i="22"/>
  <c r="AV25" i="22"/>
  <c r="BT18" i="22"/>
  <c r="BS18" i="22"/>
  <c r="CM17" i="22"/>
  <c r="AV27" i="22"/>
  <c r="BK21" i="22"/>
  <c r="W21" i="22"/>
  <c r="BS16" i="22"/>
  <c r="AV16" i="22"/>
  <c r="AV13" i="22"/>
  <c r="AU19" i="20"/>
  <c r="BC25" i="22"/>
  <c r="CA24" i="22"/>
  <c r="BC23" i="22"/>
  <c r="AV22" i="22"/>
  <c r="AV20" i="22"/>
  <c r="BD17" i="22"/>
  <c r="BC17" i="22"/>
  <c r="AE17" i="22"/>
  <c r="BD15" i="22"/>
  <c r="AV15" i="22"/>
  <c r="BK14" i="22"/>
  <c r="BS13" i="24"/>
  <c r="AY13" i="24"/>
  <c r="AE17" i="20"/>
  <c r="BO15" i="20"/>
  <c r="CU20" i="18"/>
  <c r="CA20" i="18"/>
  <c r="AI20" i="18"/>
  <c r="AU18" i="20"/>
  <c r="CY16" i="18"/>
  <c r="CE16" i="18"/>
  <c r="BK16" i="18"/>
  <c r="AM16" i="18"/>
  <c r="AU14" i="20"/>
  <c r="BW28" i="22"/>
  <c r="AE28" i="22"/>
  <c r="BW27" i="22"/>
  <c r="CM26" i="22"/>
  <c r="BS26" i="22"/>
  <c r="AA26" i="22"/>
  <c r="BG25" i="22"/>
  <c r="CQ24" i="22"/>
  <c r="BC24" i="22"/>
  <c r="CQ23" i="22"/>
  <c r="BW23" i="22"/>
  <c r="AE23" i="22"/>
  <c r="CQ21" i="22"/>
  <c r="DZ18" i="1"/>
  <c r="CM20" i="22"/>
  <c r="DV18" i="1"/>
  <c r="BS20" i="22"/>
  <c r="DN18" i="1"/>
  <c r="AA20" i="22"/>
  <c r="DP15" i="1"/>
  <c r="AM18" i="22"/>
  <c r="DY14" i="1"/>
  <c r="CI17" i="22"/>
  <c r="DM14" i="1"/>
  <c r="W17" i="22"/>
  <c r="DW13" i="1"/>
  <c r="BW16" i="22"/>
  <c r="DO13" i="1"/>
  <c r="AN15" i="20" s="1"/>
  <c r="AE16" i="22"/>
  <c r="DY12" i="1"/>
  <c r="CI15" i="22"/>
  <c r="DQ12" i="1"/>
  <c r="AQ15" i="22"/>
  <c r="AU15" i="22"/>
  <c r="DY11" i="1"/>
  <c r="CI14" i="22"/>
  <c r="DQ11" i="1"/>
  <c r="AU14" i="22"/>
  <c r="AQ14" i="22"/>
  <c r="CA13" i="22"/>
  <c r="AM13" i="22"/>
  <c r="CI26" i="22"/>
  <c r="AQ26" i="22"/>
  <c r="AU26" i="22"/>
  <c r="CQ25" i="22"/>
  <c r="BW25" i="22"/>
  <c r="AE25" i="22"/>
  <c r="BS24" i="22"/>
  <c r="AA24" i="22"/>
  <c r="CM23" i="22"/>
  <c r="BS23" i="22"/>
  <c r="CI22" i="22"/>
  <c r="AU22" i="22"/>
  <c r="AQ22" i="22"/>
  <c r="CM21" i="22"/>
  <c r="BS21" i="22"/>
  <c r="AA21" i="22"/>
  <c r="DQ18" i="1"/>
  <c r="AU20" i="22"/>
  <c r="AQ20" i="22"/>
  <c r="BC13" i="22"/>
  <c r="CV16" i="20"/>
  <c r="AN15" i="6"/>
  <c r="BG28" i="22"/>
  <c r="AM28" i="22"/>
  <c r="CA27" i="22"/>
  <c r="BG27" i="22"/>
  <c r="AM27" i="22"/>
  <c r="CQ26" i="22"/>
  <c r="BW26" i="22"/>
  <c r="BC26" i="22"/>
  <c r="AE26" i="22"/>
  <c r="CI25" i="22"/>
  <c r="BK25" i="22"/>
  <c r="AU25" i="22"/>
  <c r="AQ25" i="22"/>
  <c r="W25" i="22"/>
  <c r="G25" i="22"/>
  <c r="BG24" i="22"/>
  <c r="AM24" i="22"/>
  <c r="CA23" i="22"/>
  <c r="BG23" i="22"/>
  <c r="AM23" i="22"/>
  <c r="CQ22" i="22"/>
  <c r="BW22" i="22"/>
  <c r="BC22" i="22"/>
  <c r="AE22" i="22"/>
  <c r="CA21" i="22"/>
  <c r="BG21" i="22"/>
  <c r="AM21" i="22"/>
  <c r="EA18" i="1"/>
  <c r="CQ20" i="22"/>
  <c r="DW18" i="1"/>
  <c r="BW20" i="22"/>
  <c r="DS18" i="1"/>
  <c r="BC20" i="22"/>
  <c r="DO18" i="1"/>
  <c r="AE20" i="22"/>
  <c r="EA16" i="1"/>
  <c r="CQ19" i="22"/>
  <c r="DW16" i="1"/>
  <c r="CF18" i="20" s="1"/>
  <c r="BW19" i="22"/>
  <c r="DS16" i="1"/>
  <c r="BC19" i="22"/>
  <c r="DO16" i="1"/>
  <c r="AN18" i="20" s="1"/>
  <c r="AE19" i="22"/>
  <c r="DY15" i="1"/>
  <c r="CI18" i="22"/>
  <c r="DU15" i="1"/>
  <c r="BK18" i="22"/>
  <c r="DQ15" i="1"/>
  <c r="AU18" i="22"/>
  <c r="AQ18" i="22"/>
  <c r="DM15" i="1"/>
  <c r="W18" i="22"/>
  <c r="CW15" i="1"/>
  <c r="G18" i="22"/>
  <c r="DV14" i="1"/>
  <c r="BS17" i="22"/>
  <c r="DN14" i="1"/>
  <c r="AA17" i="22"/>
  <c r="DX13" i="1"/>
  <c r="CA16" i="22"/>
  <c r="DT13" i="1"/>
  <c r="BG16" i="22"/>
  <c r="DP13" i="1"/>
  <c r="AM16" i="22"/>
  <c r="DZ12" i="1"/>
  <c r="CM15" i="22"/>
  <c r="DV12" i="1"/>
  <c r="BS15" i="22"/>
  <c r="DN12" i="1"/>
  <c r="AA15" i="22"/>
  <c r="DZ11" i="1"/>
  <c r="CM14" i="22"/>
  <c r="DV11" i="1"/>
  <c r="BS14" i="22"/>
  <c r="DN11" i="1"/>
  <c r="AA14" i="22"/>
  <c r="CI13" i="22"/>
  <c r="BK13" i="22"/>
  <c r="AQ13" i="22"/>
  <c r="AU13" i="22"/>
  <c r="W13" i="22"/>
  <c r="G13" i="22"/>
  <c r="CQ20" i="20"/>
  <c r="CI18" i="20"/>
  <c r="CU16" i="20"/>
  <c r="CU15" i="20"/>
  <c r="AI15" i="20"/>
  <c r="CI19" i="18"/>
  <c r="BO19" i="18"/>
  <c r="CU18" i="18"/>
  <c r="BD19" i="20"/>
  <c r="AI18" i="18"/>
  <c r="BD18" i="20"/>
  <c r="BD17" i="20"/>
  <c r="BD16" i="20"/>
  <c r="CQ16" i="18"/>
  <c r="BS16" i="18"/>
  <c r="AE16" i="18"/>
  <c r="CQ28" i="22"/>
  <c r="BC28" i="22"/>
  <c r="CQ27" i="22"/>
  <c r="BC27" i="22"/>
  <c r="AE27" i="22"/>
  <c r="CA25" i="22"/>
  <c r="AM25" i="22"/>
  <c r="BW24" i="22"/>
  <c r="AE24" i="22"/>
  <c r="CM22" i="22"/>
  <c r="BS22" i="22"/>
  <c r="AA22" i="22"/>
  <c r="BW21" i="22"/>
  <c r="BC21" i="22"/>
  <c r="AE21" i="22"/>
  <c r="DZ16" i="1"/>
  <c r="CM19" i="22"/>
  <c r="DV16" i="1"/>
  <c r="CB18" i="20" s="1"/>
  <c r="BS19" i="22"/>
  <c r="DN16" i="1"/>
  <c r="AA19" i="22"/>
  <c r="DX15" i="1"/>
  <c r="CA18" i="22"/>
  <c r="DT15" i="1"/>
  <c r="BG18" i="22"/>
  <c r="DU14" i="1"/>
  <c r="BK17" i="22"/>
  <c r="DQ14" i="1"/>
  <c r="AU17" i="22"/>
  <c r="AQ17" i="22"/>
  <c r="CW14" i="1"/>
  <c r="G17" i="22"/>
  <c r="EA13" i="1"/>
  <c r="CQ16" i="22"/>
  <c r="DS13" i="1"/>
  <c r="BC16" i="22"/>
  <c r="DU12" i="1"/>
  <c r="BK15" i="22"/>
  <c r="DM12" i="1"/>
  <c r="W15" i="22"/>
  <c r="CW12" i="1"/>
  <c r="G15" i="22"/>
  <c r="DM11" i="1"/>
  <c r="W14" i="22"/>
  <c r="CW11" i="1"/>
  <c r="G14" i="22"/>
  <c r="BG13" i="22"/>
  <c r="AV28" i="22"/>
  <c r="BS28" i="22"/>
  <c r="CM27" i="22"/>
  <c r="BS27" i="22"/>
  <c r="AA27" i="22"/>
  <c r="BK26" i="22"/>
  <c r="W26" i="22"/>
  <c r="G26" i="22"/>
  <c r="CM24" i="22"/>
  <c r="AA23" i="22"/>
  <c r="BK22" i="22"/>
  <c r="W22" i="22"/>
  <c r="G22" i="22"/>
  <c r="DY18" i="1"/>
  <c r="CR20" i="20" s="1"/>
  <c r="CI20" i="22"/>
  <c r="DU18" i="1"/>
  <c r="BK20" i="22"/>
  <c r="DM18" i="1"/>
  <c r="AF20" i="20" s="1"/>
  <c r="W20" i="22"/>
  <c r="CW18" i="1"/>
  <c r="G20" i="22"/>
  <c r="DY16" i="1"/>
  <c r="CI19" i="22"/>
  <c r="DU16" i="1"/>
  <c r="BK19" i="22"/>
  <c r="DQ16" i="1"/>
  <c r="AU19" i="22"/>
  <c r="AQ19" i="22"/>
  <c r="DM16" i="1"/>
  <c r="AF18" i="20" s="1"/>
  <c r="W19" i="22"/>
  <c r="CW16" i="1"/>
  <c r="G19" i="22"/>
  <c r="EA15" i="1"/>
  <c r="CQ18" i="22"/>
  <c r="DW15" i="1"/>
  <c r="BW18" i="22"/>
  <c r="DS15" i="1"/>
  <c r="BC18" i="22"/>
  <c r="DO15" i="1"/>
  <c r="AE18" i="22"/>
  <c r="DX14" i="1"/>
  <c r="CA17" i="22"/>
  <c r="DT14" i="1"/>
  <c r="BG17" i="22"/>
  <c r="DP14" i="1"/>
  <c r="AM17" i="22"/>
  <c r="DZ13" i="1"/>
  <c r="CV15" i="20" s="1"/>
  <c r="CM16" i="22"/>
  <c r="DN13" i="1"/>
  <c r="AA16" i="22"/>
  <c r="DX12" i="1"/>
  <c r="CA15" i="22"/>
  <c r="DT12" i="1"/>
  <c r="BG15" i="22"/>
  <c r="DP12" i="1"/>
  <c r="AM15" i="22"/>
  <c r="DU11" i="1"/>
  <c r="DX11" i="1"/>
  <c r="CA14" i="22"/>
  <c r="DT11" i="1"/>
  <c r="BG14" i="22"/>
  <c r="DP11" i="1"/>
  <c r="AM14" i="22"/>
  <c r="CQ13" i="22"/>
  <c r="BW13" i="22"/>
  <c r="AE13" i="22"/>
  <c r="DX4" i="1"/>
  <c r="H18" i="6"/>
  <c r="CI28" i="22"/>
  <c r="BK28" i="22"/>
  <c r="AU28" i="22"/>
  <c r="AQ28" i="22"/>
  <c r="W28" i="22"/>
  <c r="G28" i="22"/>
  <c r="CI27" i="22"/>
  <c r="BK27" i="22"/>
  <c r="AU27" i="22"/>
  <c r="AQ27" i="22"/>
  <c r="W27" i="22"/>
  <c r="G27" i="22"/>
  <c r="CA26" i="22"/>
  <c r="BG26" i="22"/>
  <c r="AM26" i="22"/>
  <c r="CM25" i="22"/>
  <c r="BS25" i="22"/>
  <c r="AA25" i="22"/>
  <c r="CI24" i="22"/>
  <c r="BK24" i="22"/>
  <c r="AU24" i="22"/>
  <c r="AQ24" i="22"/>
  <c r="W24" i="22"/>
  <c r="G24" i="22"/>
  <c r="CI23" i="22"/>
  <c r="BK23" i="22"/>
  <c r="AQ23" i="22"/>
  <c r="AU23" i="22"/>
  <c r="W23" i="22"/>
  <c r="G23" i="22"/>
  <c r="CA22" i="22"/>
  <c r="BG22" i="22"/>
  <c r="AM22" i="22"/>
  <c r="CI21" i="22"/>
  <c r="AU21" i="22"/>
  <c r="AQ21" i="22"/>
  <c r="DX18" i="1"/>
  <c r="CB24" i="22" s="1"/>
  <c r="CA20" i="22"/>
  <c r="DT18" i="1"/>
  <c r="BG20" i="22"/>
  <c r="DP18" i="1"/>
  <c r="AM20" i="22"/>
  <c r="DX16" i="1"/>
  <c r="CA19" i="22"/>
  <c r="DT16" i="1"/>
  <c r="BG19" i="22"/>
  <c r="DP16" i="1"/>
  <c r="AM19" i="22"/>
  <c r="DZ15" i="1"/>
  <c r="CM18" i="22"/>
  <c r="DN15" i="1"/>
  <c r="AA18" i="22"/>
  <c r="EA14" i="1"/>
  <c r="CQ17" i="22"/>
  <c r="DW14" i="1"/>
  <c r="BW17" i="22"/>
  <c r="DY13" i="1"/>
  <c r="CI16" i="22"/>
  <c r="DU13" i="1"/>
  <c r="BK16" i="22"/>
  <c r="DQ13" i="1"/>
  <c r="AQ16" i="22"/>
  <c r="AU16" i="22"/>
  <c r="DM13" i="1"/>
  <c r="W16" i="22"/>
  <c r="CW13" i="1"/>
  <c r="G16" i="22"/>
  <c r="EA12" i="1"/>
  <c r="CQ15" i="22"/>
  <c r="DW12" i="1"/>
  <c r="BW15" i="22"/>
  <c r="DO12" i="1"/>
  <c r="AE15" i="22"/>
  <c r="EA11" i="1"/>
  <c r="CQ14" i="22"/>
  <c r="DW11" i="1"/>
  <c r="BW14" i="22"/>
  <c r="DS11" i="1"/>
  <c r="BC14" i="22"/>
  <c r="DO11" i="1"/>
  <c r="AE14" i="22"/>
  <c r="CM13" i="22"/>
  <c r="BS13" i="22"/>
  <c r="AA13" i="22"/>
  <c r="DV9" i="1"/>
  <c r="CU19" i="20"/>
  <c r="AI19" i="20"/>
  <c r="CE15" i="20"/>
  <c r="DT4" i="1"/>
  <c r="CU13" i="20"/>
  <c r="DW3" i="1"/>
  <c r="DO3" i="1"/>
  <c r="CI20" i="18"/>
  <c r="BO20" i="18"/>
  <c r="BD20" i="20"/>
  <c r="BD15" i="20"/>
  <c r="BD14" i="20"/>
  <c r="BD13" i="20"/>
  <c r="DW10" i="1"/>
  <c r="DS10" i="1"/>
  <c r="DO10" i="1"/>
  <c r="CI20" i="20"/>
  <c r="BO20" i="20"/>
  <c r="DU9" i="1"/>
  <c r="DM9" i="1"/>
  <c r="CW9" i="1"/>
  <c r="G19" i="18"/>
  <c r="DY8" i="1"/>
  <c r="CQ19" i="20"/>
  <c r="DU8" i="1"/>
  <c r="BS19" i="20"/>
  <c r="DM8" i="1"/>
  <c r="AE19" i="20"/>
  <c r="CW8" i="1"/>
  <c r="G19" i="20"/>
  <c r="G18" i="18"/>
  <c r="CU18" i="20"/>
  <c r="CA18" i="20"/>
  <c r="AI18" i="20"/>
  <c r="DX7" i="1"/>
  <c r="CI17" i="20"/>
  <c r="DT7" i="1"/>
  <c r="BO17" i="20"/>
  <c r="DX6" i="1"/>
  <c r="CI16" i="20"/>
  <c r="DT6" i="1"/>
  <c r="BO16" i="20"/>
  <c r="CQ15" i="20"/>
  <c r="BS15" i="20"/>
  <c r="AE15" i="20"/>
  <c r="G15" i="20"/>
  <c r="DX5" i="1"/>
  <c r="CJ15" i="18" s="1"/>
  <c r="CI14" i="20"/>
  <c r="DT5" i="1"/>
  <c r="BP15" i="18" s="1"/>
  <c r="BO14" i="20"/>
  <c r="DY4" i="1"/>
  <c r="CQ13" i="20"/>
  <c r="DU4" i="1"/>
  <c r="BS13" i="20"/>
  <c r="DM4" i="1"/>
  <c r="AE13" i="20"/>
  <c r="CW4" i="1"/>
  <c r="G13" i="20"/>
  <c r="G14" i="18"/>
  <c r="H13" i="18"/>
  <c r="DX3" i="1"/>
  <c r="DT3" i="1"/>
  <c r="AU20" i="18"/>
  <c r="BO17" i="18"/>
  <c r="AU17" i="18"/>
  <c r="AU17" i="20"/>
  <c r="AY13" i="20"/>
  <c r="DZ10" i="1"/>
  <c r="DV10" i="1"/>
  <c r="DN10" i="1"/>
  <c r="CY20" i="20"/>
  <c r="CE20" i="20"/>
  <c r="BK20" i="20"/>
  <c r="AM20" i="20"/>
  <c r="DX9" i="1"/>
  <c r="DT9" i="1"/>
  <c r="DX8" i="1"/>
  <c r="CI19" i="20"/>
  <c r="DT8" i="1"/>
  <c r="BO19" i="20"/>
  <c r="CQ18" i="20"/>
  <c r="BS18" i="20"/>
  <c r="AE18" i="20"/>
  <c r="G18" i="20"/>
  <c r="EA7" i="1"/>
  <c r="CY17" i="20"/>
  <c r="DW7" i="1"/>
  <c r="CE17" i="20"/>
  <c r="DS7" i="1"/>
  <c r="BK17" i="20"/>
  <c r="DO7" i="1"/>
  <c r="AM17" i="20"/>
  <c r="EA6" i="1"/>
  <c r="CY16" i="20"/>
  <c r="DW6" i="1"/>
  <c r="CE16" i="20"/>
  <c r="DS6" i="1"/>
  <c r="BL16" i="20" s="1"/>
  <c r="BK16" i="20"/>
  <c r="DO6" i="1"/>
  <c r="AN16" i="20" s="1"/>
  <c r="AM16" i="20"/>
  <c r="CI15" i="20"/>
  <c r="EA5" i="1"/>
  <c r="CY14" i="20"/>
  <c r="DW5" i="1"/>
  <c r="CE14" i="20"/>
  <c r="DS5" i="1"/>
  <c r="BL14" i="20" s="1"/>
  <c r="BK14" i="20"/>
  <c r="DO5" i="1"/>
  <c r="AM14" i="20"/>
  <c r="CQ19" i="18"/>
  <c r="BS19" i="18"/>
  <c r="AE19" i="18"/>
  <c r="CQ18" i="18"/>
  <c r="BS18" i="18"/>
  <c r="AY19" i="20"/>
  <c r="AE18" i="18"/>
  <c r="AY18" i="20"/>
  <c r="CY17" i="18"/>
  <c r="CE17" i="18"/>
  <c r="BK17" i="18"/>
  <c r="AM17" i="18"/>
  <c r="AY15" i="20"/>
  <c r="CY15" i="18"/>
  <c r="BK15" i="18"/>
  <c r="AM15" i="18"/>
  <c r="CI14" i="18"/>
  <c r="BO14" i="18"/>
  <c r="AU14" i="18"/>
  <c r="AU13" i="20"/>
  <c r="EA10" i="1"/>
  <c r="DY10" i="1"/>
  <c r="DU10" i="1"/>
  <c r="BT20" i="18" s="1"/>
  <c r="DM10" i="1"/>
  <c r="CW10" i="1"/>
  <c r="G20" i="18"/>
  <c r="CU20" i="20"/>
  <c r="CA20" i="20"/>
  <c r="AI20" i="20"/>
  <c r="DY9" i="1"/>
  <c r="DW9" i="1"/>
  <c r="DO9" i="1"/>
  <c r="EA8" i="1"/>
  <c r="CY19" i="20"/>
  <c r="DW8" i="1"/>
  <c r="CE19" i="20"/>
  <c r="DS8" i="1"/>
  <c r="BK19" i="20"/>
  <c r="DO8" i="1"/>
  <c r="AM19" i="20"/>
  <c r="BO18" i="20"/>
  <c r="DZ7" i="1"/>
  <c r="CU17" i="20"/>
  <c r="DV7" i="1"/>
  <c r="CB17" i="20" s="1"/>
  <c r="CA17" i="20"/>
  <c r="DN7" i="1"/>
  <c r="AI17" i="20"/>
  <c r="DV6" i="1"/>
  <c r="CB16" i="18" s="1"/>
  <c r="CA16" i="20"/>
  <c r="DN6" i="1"/>
  <c r="AJ16" i="18" s="1"/>
  <c r="AI16" i="20"/>
  <c r="CY15" i="20"/>
  <c r="BK15" i="20"/>
  <c r="AM15" i="20"/>
  <c r="DZ5" i="1"/>
  <c r="CU14" i="20"/>
  <c r="DV5" i="1"/>
  <c r="CA14" i="20"/>
  <c r="DN5" i="1"/>
  <c r="AI14" i="20"/>
  <c r="EA4" i="1"/>
  <c r="CY13" i="20"/>
  <c r="DW4" i="1"/>
  <c r="CE13" i="20"/>
  <c r="DS4" i="1"/>
  <c r="BK13" i="20"/>
  <c r="DO4" i="1"/>
  <c r="AM13" i="20"/>
  <c r="DZ3" i="1"/>
  <c r="DV3" i="1"/>
  <c r="DN3" i="1"/>
  <c r="AY20" i="20"/>
  <c r="AU19" i="18"/>
  <c r="CA17" i="18"/>
  <c r="AY16" i="20"/>
  <c r="CU15" i="18"/>
  <c r="CA15" i="18"/>
  <c r="AI15" i="18"/>
  <c r="CY14" i="18"/>
  <c r="CE14" i="18"/>
  <c r="BK14" i="18"/>
  <c r="AM14" i="18"/>
  <c r="DX10" i="1"/>
  <c r="DT10" i="1"/>
  <c r="BS20" i="20"/>
  <c r="AE20" i="20"/>
  <c r="G20" i="20"/>
  <c r="DV8" i="1"/>
  <c r="CA19" i="20"/>
  <c r="CY18" i="20"/>
  <c r="CE18" i="20"/>
  <c r="BK18" i="20"/>
  <c r="AM18" i="20"/>
  <c r="DY7" i="1"/>
  <c r="CQ17" i="20"/>
  <c r="DU7" i="1"/>
  <c r="BS17" i="20"/>
  <c r="CW7" i="1"/>
  <c r="G17" i="20"/>
  <c r="G17" i="18"/>
  <c r="DY6" i="1"/>
  <c r="CQ16" i="20"/>
  <c r="DU6" i="1"/>
  <c r="BS16" i="20"/>
  <c r="DM6" i="1"/>
  <c r="AE16" i="20"/>
  <c r="CW6" i="1"/>
  <c r="G16" i="20"/>
  <c r="G16" i="18"/>
  <c r="CB15" i="20"/>
  <c r="CA15" i="20"/>
  <c r="DY5" i="1"/>
  <c r="CQ14" i="20"/>
  <c r="DU5" i="1"/>
  <c r="BS14" i="20"/>
  <c r="DM5" i="1"/>
  <c r="AE14" i="20"/>
  <c r="CW5" i="1"/>
  <c r="G14" i="20"/>
  <c r="G15" i="18"/>
  <c r="DV4" i="1"/>
  <c r="CA13" i="20"/>
  <c r="DN4" i="1"/>
  <c r="AI13" i="20"/>
  <c r="G13" i="18"/>
  <c r="CY19" i="18"/>
  <c r="CY18" i="18"/>
  <c r="BK18" i="18"/>
  <c r="AM18" i="18"/>
  <c r="AY17" i="20"/>
  <c r="CI16" i="18"/>
  <c r="BO16" i="18"/>
  <c r="AU16" i="18"/>
  <c r="AU16" i="20"/>
  <c r="BS15" i="18"/>
  <c r="AY14" i="20"/>
  <c r="CU14" i="18"/>
  <c r="CA14" i="18"/>
  <c r="AI14" i="18"/>
  <c r="AV18" i="6"/>
  <c r="BD17" i="18"/>
  <c r="AV21" i="6"/>
  <c r="BD19" i="18"/>
  <c r="BH15" i="6"/>
  <c r="H13" i="6"/>
  <c r="BD26" i="6"/>
  <c r="CM21" i="6"/>
  <c r="CU19" i="18"/>
  <c r="AV20" i="6"/>
  <c r="BD18" i="18"/>
  <c r="AV19" i="6"/>
  <c r="CM18" i="6"/>
  <c r="CU17" i="18"/>
  <c r="CQ24" i="6"/>
  <c r="CY20" i="18"/>
  <c r="BC24" i="6"/>
  <c r="BK20" i="18"/>
  <c r="AF23" i="6"/>
  <c r="BW23" i="6"/>
  <c r="AE23" i="6"/>
  <c r="AE16" i="6"/>
  <c r="BK14" i="6"/>
  <c r="BS14" i="18"/>
  <c r="W14" i="6"/>
  <c r="AE14" i="18"/>
  <c r="H14" i="6"/>
  <c r="H27" i="6"/>
  <c r="CN25" i="6"/>
  <c r="AB22" i="6"/>
  <c r="CM22" i="6"/>
  <c r="BS22" i="6"/>
  <c r="AV22" i="6"/>
  <c r="AA22" i="6"/>
  <c r="CB20" i="6"/>
  <c r="CA20" i="6"/>
  <c r="CI18" i="18"/>
  <c r="BG20" i="6"/>
  <c r="BO18" i="18"/>
  <c r="AM20" i="6"/>
  <c r="AU18" i="18"/>
  <c r="CJ19" i="6"/>
  <c r="CA19" i="6"/>
  <c r="BG19" i="6"/>
  <c r="AM19" i="6"/>
  <c r="X18" i="6"/>
  <c r="AF17" i="18"/>
  <c r="CA18" i="6"/>
  <c r="CI17" i="18"/>
  <c r="CN17" i="6"/>
  <c r="CV16" i="18"/>
  <c r="CB16" i="6"/>
  <c r="AV26" i="6"/>
  <c r="AV25" i="6"/>
  <c r="H25" i="6"/>
  <c r="BD23" i="6"/>
  <c r="CB22" i="6"/>
  <c r="CA22" i="6"/>
  <c r="AM22" i="6"/>
  <c r="BS21" i="6"/>
  <c r="CA19" i="18"/>
  <c r="AA21" i="6"/>
  <c r="AI19" i="18"/>
  <c r="BS20" i="6"/>
  <c r="CA18" i="18"/>
  <c r="AR19" i="6"/>
  <c r="AA18" i="6"/>
  <c r="AI17" i="18"/>
  <c r="AV17" i="6"/>
  <c r="BD16" i="18"/>
  <c r="AY16" i="18"/>
  <c r="H17" i="6"/>
  <c r="CB15" i="6"/>
  <c r="AR14" i="6"/>
  <c r="AZ14" i="18"/>
  <c r="BL24" i="6"/>
  <c r="BW24" i="6"/>
  <c r="CE20" i="18"/>
  <c r="AE24" i="6"/>
  <c r="AM20" i="18"/>
  <c r="CQ23" i="6"/>
  <c r="BC23" i="6"/>
  <c r="AR22" i="6"/>
  <c r="AF19" i="6"/>
  <c r="AV15" i="6"/>
  <c r="BD15" i="18"/>
  <c r="CI14" i="6"/>
  <c r="CQ14" i="18"/>
  <c r="AY14" i="18"/>
  <c r="BT27" i="6"/>
  <c r="CI24" i="6"/>
  <c r="CQ20" i="18"/>
  <c r="BK24" i="6"/>
  <c r="BS20" i="18"/>
  <c r="AY20" i="18"/>
  <c r="W24" i="6"/>
  <c r="AE20" i="18"/>
  <c r="H24" i="6"/>
  <c r="CI23" i="6"/>
  <c r="BK23" i="6"/>
  <c r="AU23" i="6"/>
  <c r="W23" i="6"/>
  <c r="H23" i="6"/>
  <c r="BH20" i="6"/>
  <c r="BL19" i="6"/>
  <c r="CB18" i="6"/>
  <c r="BH16" i="6"/>
  <c r="H16" i="6"/>
  <c r="AV15" i="18"/>
  <c r="CA15" i="6"/>
  <c r="CI15" i="18"/>
  <c r="BG15" i="6"/>
  <c r="BO15" i="18"/>
  <c r="AM15" i="6"/>
  <c r="AU15" i="18"/>
  <c r="CM27" i="6"/>
  <c r="BS27" i="6"/>
  <c r="AV27" i="6"/>
  <c r="AA27" i="6"/>
  <c r="H26" i="6"/>
  <c r="AB25" i="6"/>
  <c r="CA25" i="6"/>
  <c r="BG25" i="6"/>
  <c r="AM25" i="6"/>
  <c r="AV23" i="6"/>
  <c r="BD21" i="6"/>
  <c r="BL19" i="18"/>
  <c r="BW21" i="6"/>
  <c r="CE19" i="18"/>
  <c r="BC21" i="6"/>
  <c r="BK19" i="18"/>
  <c r="AE21" i="6"/>
  <c r="AM19" i="18"/>
  <c r="BW20" i="6"/>
  <c r="CE18" i="18"/>
  <c r="CI19" i="6"/>
  <c r="BK19" i="6"/>
  <c r="W19" i="6"/>
  <c r="BL18" i="6"/>
  <c r="CI18" i="6"/>
  <c r="CQ17" i="18"/>
  <c r="BK18" i="6"/>
  <c r="BS17" i="18"/>
  <c r="AU18" i="6"/>
  <c r="AY17" i="18"/>
  <c r="W18" i="6"/>
  <c r="AE17" i="18"/>
  <c r="AB17" i="6"/>
  <c r="CN16" i="6"/>
  <c r="AV16" i="6"/>
  <c r="CM16" i="6"/>
  <c r="BS16" i="6"/>
  <c r="AA16" i="6"/>
  <c r="BX15" i="6"/>
  <c r="CI15" i="6"/>
  <c r="CQ15" i="18"/>
  <c r="AY15" i="18"/>
  <c r="W15" i="6"/>
  <c r="AE15" i="18"/>
  <c r="H15" i="6"/>
  <c r="CR26" i="6"/>
  <c r="CQ26" i="6"/>
  <c r="BW26" i="6"/>
  <c r="BC26" i="6"/>
  <c r="AE26" i="6"/>
  <c r="BT25" i="6"/>
  <c r="CM25" i="6"/>
  <c r="BS25" i="6"/>
  <c r="AA25" i="6"/>
  <c r="AV24" i="6"/>
  <c r="BD20" i="18"/>
  <c r="BK22" i="6"/>
  <c r="H22" i="6"/>
  <c r="AY19" i="18"/>
  <c r="H21" i="6"/>
  <c r="AY18" i="18"/>
  <c r="H20" i="6"/>
  <c r="AE19" i="6"/>
  <c r="BT17" i="6"/>
  <c r="CM17" i="6"/>
  <c r="CU16" i="18"/>
  <c r="BS17" i="6"/>
  <c r="CA16" i="18"/>
  <c r="AA17" i="6"/>
  <c r="AI16" i="18"/>
  <c r="CA16" i="6"/>
  <c r="BG16" i="6"/>
  <c r="AM16" i="6"/>
  <c r="BW15" i="6"/>
  <c r="CE15" i="18"/>
  <c r="AV14" i="6"/>
  <c r="BD14" i="18"/>
  <c r="AQ27" i="6"/>
  <c r="AM26" i="6"/>
  <c r="AQ23" i="6"/>
  <c r="AQ18" i="6"/>
  <c r="CI26" i="6"/>
  <c r="BK26" i="6"/>
  <c r="AQ26" i="6"/>
  <c r="AU26" i="6"/>
  <c r="W26" i="6"/>
  <c r="CQ25" i="6"/>
  <c r="BW25" i="6"/>
  <c r="BC25" i="6"/>
  <c r="AE25" i="6"/>
  <c r="CM24" i="6"/>
  <c r="BS24" i="6"/>
  <c r="AA24" i="6"/>
  <c r="CA23" i="6"/>
  <c r="BG23" i="6"/>
  <c r="AM23" i="6"/>
  <c r="CI20" i="6"/>
  <c r="BK20" i="6"/>
  <c r="AQ20" i="6"/>
  <c r="AU20" i="6"/>
  <c r="W20" i="6"/>
  <c r="CI22" i="6"/>
  <c r="AU22" i="6"/>
  <c r="AQ22" i="6"/>
  <c r="W22" i="6"/>
  <c r="CQ21" i="6"/>
  <c r="CI17" i="6"/>
  <c r="BK17" i="6"/>
  <c r="AQ17" i="6"/>
  <c r="AU17" i="6"/>
  <c r="W17" i="6"/>
  <c r="CQ16" i="6"/>
  <c r="BW16" i="6"/>
  <c r="BC16" i="6"/>
  <c r="CA27" i="6"/>
  <c r="BG27" i="6"/>
  <c r="AM27" i="6"/>
  <c r="CI25" i="6"/>
  <c r="BK25" i="6"/>
  <c r="AQ25" i="6"/>
  <c r="AU25" i="6"/>
  <c r="W25" i="6"/>
  <c r="CA24" i="6"/>
  <c r="BG24" i="6"/>
  <c r="AM24" i="6"/>
  <c r="CM23" i="6"/>
  <c r="BS23" i="6"/>
  <c r="AA23" i="6"/>
  <c r="CQ20" i="6"/>
  <c r="BC20" i="6"/>
  <c r="AE20" i="6"/>
  <c r="CQ22" i="6"/>
  <c r="BW22" i="6"/>
  <c r="BC22" i="6"/>
  <c r="AE22" i="6"/>
  <c r="CI21" i="6"/>
  <c r="BK21" i="6"/>
  <c r="AQ21" i="6"/>
  <c r="AU21" i="6"/>
  <c r="W21" i="6"/>
  <c r="CQ17" i="6"/>
  <c r="BW17" i="6"/>
  <c r="BC17" i="6"/>
  <c r="AE17" i="6"/>
  <c r="CI16" i="6"/>
  <c r="BK16" i="6"/>
  <c r="AQ16" i="6"/>
  <c r="AU16" i="6"/>
  <c r="W16" i="6"/>
  <c r="CI27" i="6"/>
  <c r="BK27" i="6"/>
  <c r="W27" i="6"/>
  <c r="CA26" i="6"/>
  <c r="BG26" i="6"/>
  <c r="AQ24" i="6"/>
  <c r="AU24" i="6"/>
  <c r="BG22" i="6"/>
  <c r="CA21" i="6"/>
  <c r="CM19" i="6"/>
  <c r="BS19" i="6"/>
  <c r="AA19" i="6"/>
  <c r="BG18" i="6"/>
  <c r="AM18" i="6"/>
  <c r="CQ15" i="6"/>
  <c r="BC15" i="6"/>
  <c r="AE15" i="6"/>
  <c r="CM14" i="6"/>
  <c r="BS14" i="6"/>
  <c r="AA14" i="6"/>
  <c r="AU27" i="6"/>
  <c r="CQ27" i="6"/>
  <c r="BW27" i="6"/>
  <c r="BC27" i="6"/>
  <c r="AE27" i="6"/>
  <c r="CM26" i="6"/>
  <c r="BS26" i="6"/>
  <c r="AA26" i="6"/>
  <c r="CM20" i="6"/>
  <c r="AA20" i="6"/>
  <c r="BS18" i="6"/>
  <c r="BK15" i="6"/>
  <c r="AU15" i="6"/>
  <c r="AQ15" i="6"/>
  <c r="CA14" i="6"/>
  <c r="BG14" i="6"/>
  <c r="AM14" i="6"/>
  <c r="BG21" i="6"/>
  <c r="AM21" i="6"/>
  <c r="AQ19" i="6"/>
  <c r="AU19" i="6"/>
  <c r="CQ14" i="6"/>
  <c r="BW14" i="6"/>
  <c r="BC14" i="6"/>
  <c r="AE14" i="6"/>
  <c r="CQ19" i="6"/>
  <c r="BW19" i="6"/>
  <c r="BC19" i="6"/>
  <c r="CQ18" i="6"/>
  <c r="BW18" i="6"/>
  <c r="BC18" i="6"/>
  <c r="AE18" i="6"/>
  <c r="CA17" i="6"/>
  <c r="BG17" i="6"/>
  <c r="AM17" i="6"/>
  <c r="CM15" i="6"/>
  <c r="BS15" i="6"/>
  <c r="AA15" i="6"/>
  <c r="AQ14" i="6"/>
  <c r="AU14" i="6"/>
  <c r="F36" i="16"/>
  <c r="E36" i="16"/>
  <c r="D36" i="16"/>
  <c r="C36" i="16"/>
  <c r="F35" i="16"/>
  <c r="E35" i="16"/>
  <c r="D35" i="16"/>
  <c r="C35" i="16"/>
  <c r="F34" i="16"/>
  <c r="E34" i="16"/>
  <c r="D34" i="16"/>
  <c r="C34" i="16"/>
  <c r="F32" i="16"/>
  <c r="E32" i="16"/>
  <c r="D32" i="16"/>
  <c r="C32" i="16"/>
  <c r="F31" i="16"/>
  <c r="E31" i="16"/>
  <c r="D31" i="16"/>
  <c r="C31" i="16"/>
  <c r="F30" i="16"/>
  <c r="E30" i="16"/>
  <c r="D30" i="16"/>
  <c r="C30" i="16"/>
  <c r="F28" i="16"/>
  <c r="E28" i="16"/>
  <c r="D28" i="16"/>
  <c r="C28" i="16"/>
  <c r="F27" i="16"/>
  <c r="E27" i="16"/>
  <c r="D27" i="16"/>
  <c r="C27" i="16"/>
  <c r="F26" i="16"/>
  <c r="E26" i="16"/>
  <c r="D26" i="16"/>
  <c r="C26" i="16"/>
  <c r="F20" i="16"/>
  <c r="E20" i="16"/>
  <c r="D20" i="16"/>
  <c r="C20" i="16"/>
  <c r="F19" i="16"/>
  <c r="E19" i="16"/>
  <c r="D19" i="16"/>
  <c r="C19" i="16"/>
  <c r="F18" i="16"/>
  <c r="E18" i="16"/>
  <c r="D18" i="16"/>
  <c r="C18" i="16"/>
  <c r="F24" i="16"/>
  <c r="E24" i="16"/>
  <c r="D24" i="16"/>
  <c r="C24" i="16"/>
  <c r="F23" i="16"/>
  <c r="E23" i="16"/>
  <c r="D23" i="16"/>
  <c r="C23" i="16"/>
  <c r="F22" i="16"/>
  <c r="E22" i="16"/>
  <c r="D22" i="16"/>
  <c r="C22" i="16"/>
  <c r="F16" i="16"/>
  <c r="E16" i="16"/>
  <c r="D16" i="16"/>
  <c r="C16" i="16"/>
  <c r="F15" i="16"/>
  <c r="E15" i="16"/>
  <c r="D15" i="16"/>
  <c r="C15" i="16"/>
  <c r="F14" i="16"/>
  <c r="E14" i="16"/>
  <c r="D14" i="16"/>
  <c r="C14" i="16"/>
  <c r="A8" i="16"/>
  <c r="A7" i="16"/>
  <c r="A6" i="16"/>
  <c r="A5" i="16"/>
  <c r="A4" i="16"/>
  <c r="A3" i="16"/>
  <c r="A2" i="16"/>
  <c r="A1" i="16"/>
  <c r="H10" i="7"/>
  <c r="A10" i="7"/>
  <c r="J10" i="14"/>
  <c r="A10" i="14"/>
  <c r="DA32" i="24" l="1"/>
  <c r="CS13" i="26"/>
  <c r="CS14" i="26"/>
  <c r="CS23" i="26"/>
  <c r="CS24" i="26"/>
  <c r="CS20" i="26"/>
  <c r="CS26" i="26"/>
  <c r="CS27" i="26"/>
  <c r="CS21" i="26"/>
  <c r="CS22" i="26"/>
  <c r="EB38" i="1"/>
  <c r="H38" i="14" s="1"/>
  <c r="EB20" i="1"/>
  <c r="EB19" i="1"/>
  <c r="H43" i="14" s="1"/>
  <c r="BT17" i="20"/>
  <c r="EB51" i="1"/>
  <c r="AJ13" i="20"/>
  <c r="EB40" i="1"/>
  <c r="F23" i="27" s="1"/>
  <c r="EB48" i="1"/>
  <c r="F28" i="27" s="1"/>
  <c r="AZ16" i="20"/>
  <c r="AV15" i="20"/>
  <c r="EB43" i="1"/>
  <c r="EB49" i="1"/>
  <c r="EB44" i="1"/>
  <c r="EB46" i="1"/>
  <c r="EB41" i="1"/>
  <c r="EB47" i="1"/>
  <c r="EB50" i="1"/>
  <c r="EB42" i="1"/>
  <c r="EB45" i="1"/>
  <c r="BT16" i="20"/>
  <c r="CJ17" i="20"/>
  <c r="EB33" i="1"/>
  <c r="EB57" i="1"/>
  <c r="CJ16" i="20"/>
  <c r="BT14" i="20"/>
  <c r="EB22" i="1"/>
  <c r="EB32" i="1"/>
  <c r="EB31" i="1"/>
  <c r="EB24" i="1"/>
  <c r="EB28" i="1"/>
  <c r="BT20" i="20"/>
  <c r="BT18" i="20"/>
  <c r="EB34" i="1"/>
  <c r="EB29" i="1"/>
  <c r="EB53" i="1"/>
  <c r="BP13" i="20"/>
  <c r="EB23" i="1"/>
  <c r="EB55" i="1"/>
  <c r="AV18" i="20"/>
  <c r="EB5" i="1"/>
  <c r="AJ17" i="20"/>
  <c r="BT19" i="20"/>
  <c r="EB14" i="1"/>
  <c r="H13" i="14" s="1"/>
  <c r="H19" i="6"/>
  <c r="EB9" i="1"/>
  <c r="EB35" i="1"/>
  <c r="EB26" i="1"/>
  <c r="EB37" i="1"/>
  <c r="F25" i="27"/>
  <c r="EB56" i="1"/>
  <c r="BP18" i="20"/>
  <c r="CZ16" i="20"/>
  <c r="EB36" i="1"/>
  <c r="H25" i="26"/>
  <c r="CS25" i="26" s="1"/>
  <c r="EB52" i="1"/>
  <c r="AV14" i="24"/>
  <c r="AZ15" i="24"/>
  <c r="AN17" i="24"/>
  <c r="AJ18" i="24"/>
  <c r="CV18" i="24"/>
  <c r="CZ19" i="24"/>
  <c r="CB20" i="24"/>
  <c r="CR21" i="24"/>
  <c r="CB22" i="24"/>
  <c r="CF23" i="24"/>
  <c r="AF25" i="24"/>
  <c r="BT25" i="24"/>
  <c r="CR26" i="24"/>
  <c r="AV27" i="24"/>
  <c r="CJ28" i="24"/>
  <c r="AJ30" i="24"/>
  <c r="CV30" i="24"/>
  <c r="CB31" i="24"/>
  <c r="H14" i="24"/>
  <c r="H15" i="26"/>
  <c r="CS15" i="26" s="1"/>
  <c r="AZ14" i="24"/>
  <c r="H16" i="24"/>
  <c r="AZ16" i="24"/>
  <c r="BP17" i="24"/>
  <c r="CF18" i="24"/>
  <c r="CF20" i="24"/>
  <c r="BL22" i="24"/>
  <c r="BP23" i="24"/>
  <c r="AN24" i="24"/>
  <c r="AJ25" i="24"/>
  <c r="CV25" i="24"/>
  <c r="CB26" i="24"/>
  <c r="BT27" i="24"/>
  <c r="CR28" i="24"/>
  <c r="CB29" i="24"/>
  <c r="CF30" i="24"/>
  <c r="CF31" i="24"/>
  <c r="CF33" i="24"/>
  <c r="CF14" i="24"/>
  <c r="AJ17" i="24"/>
  <c r="CB19" i="24"/>
  <c r="AV21" i="24"/>
  <c r="AZ22" i="24"/>
  <c r="CV23" i="24"/>
  <c r="CJ26" i="24"/>
  <c r="CZ28" i="24"/>
  <c r="BT30" i="24"/>
  <c r="AZ31" i="24"/>
  <c r="AN15" i="24"/>
  <c r="AJ16" i="24"/>
  <c r="CV16" i="24"/>
  <c r="AV18" i="24"/>
  <c r="AF19" i="24"/>
  <c r="BT19" i="24"/>
  <c r="CJ20" i="24"/>
  <c r="CZ21" i="24"/>
  <c r="H23" i="24"/>
  <c r="CR23" i="24"/>
  <c r="BP24" i="24"/>
  <c r="AF24" i="24"/>
  <c r="CZ25" i="24"/>
  <c r="CF26" i="24"/>
  <c r="AN29" i="24"/>
  <c r="AV30" i="24"/>
  <c r="CJ31" i="24"/>
  <c r="BL16" i="24"/>
  <c r="H18" i="24"/>
  <c r="H18" i="26"/>
  <c r="CS18" i="26" s="1"/>
  <c r="AZ20" i="24"/>
  <c r="AF22" i="24"/>
  <c r="H24" i="24"/>
  <c r="AV25" i="24"/>
  <c r="CF27" i="24"/>
  <c r="CJ29" i="24"/>
  <c r="AF33" i="24"/>
  <c r="BT17" i="18"/>
  <c r="BL15" i="20"/>
  <c r="AN19" i="20"/>
  <c r="CF19" i="20"/>
  <c r="BL20" i="20"/>
  <c r="CZ20" i="20"/>
  <c r="H15" i="24"/>
  <c r="H16" i="26"/>
  <c r="CS16" i="26" s="1"/>
  <c r="CJ16" i="24"/>
  <c r="CZ17" i="24"/>
  <c r="CB18" i="24"/>
  <c r="CF19" i="24"/>
  <c r="AF21" i="24"/>
  <c r="BT21" i="24"/>
  <c r="BL23" i="24"/>
  <c r="H25" i="24"/>
  <c r="AZ25" i="24"/>
  <c r="AF26" i="24"/>
  <c r="BT26" i="24"/>
  <c r="AN26" i="24"/>
  <c r="BP28" i="24"/>
  <c r="CR29" i="24"/>
  <c r="CB30" i="24"/>
  <c r="AJ15" i="24"/>
  <c r="CV15" i="24"/>
  <c r="AV17" i="24"/>
  <c r="BL18" i="24"/>
  <c r="BP19" i="24"/>
  <c r="BL20" i="24"/>
  <c r="AN22" i="24"/>
  <c r="AV23" i="24"/>
  <c r="CZ24" i="24"/>
  <c r="CB25" i="24"/>
  <c r="AF27" i="24"/>
  <c r="AF28" i="24"/>
  <c r="BT28" i="24"/>
  <c r="BL30" i="24"/>
  <c r="BL31" i="24"/>
  <c r="BL33" i="24"/>
  <c r="BL14" i="24"/>
  <c r="CF16" i="24"/>
  <c r="AJ19" i="24"/>
  <c r="BT20" i="24"/>
  <c r="AZ24" i="24"/>
  <c r="AV26" i="24"/>
  <c r="CF28" i="24"/>
  <c r="AF30" i="24"/>
  <c r="AJ14" i="24"/>
  <c r="CV14" i="24"/>
  <c r="CZ15" i="24"/>
  <c r="CB16" i="24"/>
  <c r="CR17" i="24"/>
  <c r="H19" i="26"/>
  <c r="CS19" i="26" s="1"/>
  <c r="H19" i="24"/>
  <c r="AZ19" i="24"/>
  <c r="BP20" i="24"/>
  <c r="CF21" i="24"/>
  <c r="CJ22" i="24"/>
  <c r="AV24" i="24"/>
  <c r="CF25" i="24"/>
  <c r="BL26" i="24"/>
  <c r="AJ28" i="24"/>
  <c r="CV28" i="24"/>
  <c r="CZ29" i="24"/>
  <c r="BP31" i="24"/>
  <c r="CJ33" i="24"/>
  <c r="CJ15" i="24"/>
  <c r="H22" i="24"/>
  <c r="CB23" i="24"/>
  <c r="BT24" i="24"/>
  <c r="AN27" i="24"/>
  <c r="AV29" i="24"/>
  <c r="AZ30" i="24"/>
  <c r="CR31" i="24"/>
  <c r="CF14" i="20"/>
  <c r="BP16" i="20"/>
  <c r="CJ14" i="24"/>
  <c r="CR15" i="24"/>
  <c r="BP16" i="24"/>
  <c r="CF17" i="24"/>
  <c r="BL19" i="24"/>
  <c r="H21" i="24"/>
  <c r="AZ21" i="24"/>
  <c r="AN23" i="24"/>
  <c r="AJ24" i="24"/>
  <c r="CV24" i="24"/>
  <c r="H26" i="24"/>
  <c r="AZ26" i="24"/>
  <c r="CJ27" i="24"/>
  <c r="AV28" i="24"/>
  <c r="AF29" i="24"/>
  <c r="BT29" i="24"/>
  <c r="AJ33" i="24"/>
  <c r="CV33" i="24"/>
  <c r="CR14" i="24"/>
  <c r="CB15" i="24"/>
  <c r="CR16" i="24"/>
  <c r="AN18" i="24"/>
  <c r="AV19" i="24"/>
  <c r="AN20" i="24"/>
  <c r="AJ21" i="24"/>
  <c r="CV21" i="24"/>
  <c r="CZ22" i="24"/>
  <c r="CF24" i="24"/>
  <c r="H27" i="24"/>
  <c r="H28" i="26"/>
  <c r="CS28" i="26" s="1"/>
  <c r="H28" i="24"/>
  <c r="AZ28" i="24"/>
  <c r="AN30" i="24"/>
  <c r="AN31" i="24"/>
  <c r="AN33" i="24"/>
  <c r="AN14" i="24"/>
  <c r="AN16" i="24"/>
  <c r="CV17" i="24"/>
  <c r="CR18" i="24"/>
  <c r="AF20" i="24"/>
  <c r="BP25" i="24"/>
  <c r="CZ27" i="24"/>
  <c r="H30" i="24"/>
  <c r="H30" i="26"/>
  <c r="CS30" i="26" s="1"/>
  <c r="H33" i="24"/>
  <c r="CR33" i="24"/>
  <c r="CB14" i="24"/>
  <c r="CF15" i="24"/>
  <c r="AF17" i="24"/>
  <c r="BT17" i="24"/>
  <c r="CJ18" i="24"/>
  <c r="AV20" i="24"/>
  <c r="BL21" i="24"/>
  <c r="BP22" i="24"/>
  <c r="BL25" i="24"/>
  <c r="AJ27" i="24"/>
  <c r="CV27" i="24"/>
  <c r="CB28" i="24"/>
  <c r="CF29" i="24"/>
  <c r="CJ30" i="24"/>
  <c r="AV31" i="24"/>
  <c r="BP33" i="24"/>
  <c r="AV15" i="24"/>
  <c r="BT18" i="24"/>
  <c r="BP21" i="24"/>
  <c r="AJ23" i="24"/>
  <c r="BP26" i="24"/>
  <c r="BL28" i="24"/>
  <c r="AF31" i="24"/>
  <c r="AV16" i="20"/>
  <c r="EB25" i="1"/>
  <c r="EB21" i="1"/>
  <c r="EB30" i="1"/>
  <c r="EB27" i="1"/>
  <c r="CJ17" i="18"/>
  <c r="BL13" i="20"/>
  <c r="CZ13" i="20"/>
  <c r="AF13" i="20"/>
  <c r="CR13" i="20"/>
  <c r="CJ14" i="20"/>
  <c r="EB8" i="1"/>
  <c r="BP14" i="24"/>
  <c r="BT15" i="24"/>
  <c r="AV16" i="24"/>
  <c r="BL17" i="24"/>
  <c r="AN19" i="24"/>
  <c r="AJ20" i="24"/>
  <c r="CV20" i="24"/>
  <c r="AJ22" i="24"/>
  <c r="CV22" i="24"/>
  <c r="CZ23" i="24"/>
  <c r="CB24" i="24"/>
  <c r="CR25" i="24"/>
  <c r="BP27" i="24"/>
  <c r="AZ27" i="24"/>
  <c r="H29" i="26"/>
  <c r="CS29" i="26" s="1"/>
  <c r="H29" i="24"/>
  <c r="AZ29" i="24"/>
  <c r="AJ31" i="24"/>
  <c r="CV31" i="24"/>
  <c r="CB33" i="24"/>
  <c r="AF14" i="24"/>
  <c r="BT14" i="24"/>
  <c r="AF16" i="24"/>
  <c r="BT16" i="24"/>
  <c r="CJ17" i="24"/>
  <c r="CZ18" i="24"/>
  <c r="CZ20" i="24"/>
  <c r="CB21" i="24"/>
  <c r="CF22" i="24"/>
  <c r="CJ23" i="24"/>
  <c r="BL24" i="24"/>
  <c r="AJ26" i="24"/>
  <c r="CV26" i="24"/>
  <c r="CR27" i="24"/>
  <c r="AJ29" i="24"/>
  <c r="CV29" i="24"/>
  <c r="CZ30" i="24"/>
  <c r="CZ31" i="24"/>
  <c r="CZ33" i="24"/>
  <c r="BP15" i="24"/>
  <c r="CB17" i="24"/>
  <c r="AZ18" i="24"/>
  <c r="H20" i="24"/>
  <c r="CJ21" i="24"/>
  <c r="CR22" i="24"/>
  <c r="BL27" i="24"/>
  <c r="BP29" i="24"/>
  <c r="H31" i="24"/>
  <c r="BT31" i="24"/>
  <c r="AZ33" i="24"/>
  <c r="BL15" i="24"/>
  <c r="H17" i="26"/>
  <c r="CS17" i="26" s="1"/>
  <c r="H17" i="24"/>
  <c r="AZ17" i="24"/>
  <c r="BP18" i="24"/>
  <c r="CR19" i="24"/>
  <c r="AN21" i="24"/>
  <c r="AV22" i="24"/>
  <c r="AZ23" i="24"/>
  <c r="CJ24" i="24"/>
  <c r="AN25" i="24"/>
  <c r="CZ26" i="24"/>
  <c r="CB27" i="24"/>
  <c r="BL29" i="24"/>
  <c r="BP30" i="24"/>
  <c r="CR30" i="24"/>
  <c r="AV33" i="24"/>
  <c r="CZ14" i="24"/>
  <c r="CZ16" i="24"/>
  <c r="AF18" i="24"/>
  <c r="CV19" i="24"/>
  <c r="CR20" i="24"/>
  <c r="BT22" i="24"/>
  <c r="CJ25" i="24"/>
  <c r="AN28" i="24"/>
  <c r="BT33" i="24"/>
  <c r="BT13" i="22"/>
  <c r="AF14" i="22"/>
  <c r="AN13" i="24"/>
  <c r="BX14" i="22"/>
  <c r="CF13" i="24"/>
  <c r="AF15" i="22"/>
  <c r="CR15" i="22"/>
  <c r="X16" i="22"/>
  <c r="AR23" i="22"/>
  <c r="CJ23" i="22"/>
  <c r="X24" i="22"/>
  <c r="AN26" i="22"/>
  <c r="CB26" i="22"/>
  <c r="X27" i="22"/>
  <c r="CJ28" i="22"/>
  <c r="BX13" i="22"/>
  <c r="AN14" i="22"/>
  <c r="AV13" i="24"/>
  <c r="CB14" i="22"/>
  <c r="CJ13" i="24"/>
  <c r="AR19" i="22"/>
  <c r="CJ19" i="22"/>
  <c r="X20" i="22"/>
  <c r="CJ20" i="22"/>
  <c r="X22" i="22"/>
  <c r="AB23" i="22"/>
  <c r="H26" i="22"/>
  <c r="BL26" i="22"/>
  <c r="BT27" i="22"/>
  <c r="BT28" i="22"/>
  <c r="AR17" i="22"/>
  <c r="BH18" i="22"/>
  <c r="AB19" i="22"/>
  <c r="CN19" i="22"/>
  <c r="BD21" i="22"/>
  <c r="AB22" i="22"/>
  <c r="CN22" i="22"/>
  <c r="BX24" i="22"/>
  <c r="CB25" i="22"/>
  <c r="BD27" i="22"/>
  <c r="BD28" i="22"/>
  <c r="AR13" i="22"/>
  <c r="CJ13" i="22"/>
  <c r="BT14" i="22"/>
  <c r="CB13" i="24"/>
  <c r="AB15" i="22"/>
  <c r="CN15" i="22"/>
  <c r="BH16" i="22"/>
  <c r="AB17" i="22"/>
  <c r="H18" i="22"/>
  <c r="AN24" i="22"/>
  <c r="H25" i="22"/>
  <c r="BH28" i="22"/>
  <c r="AR20" i="22"/>
  <c r="BT21" i="22"/>
  <c r="AR26" i="22"/>
  <c r="CB13" i="22"/>
  <c r="AR15" i="22"/>
  <c r="AF16" i="22"/>
  <c r="X17" i="22"/>
  <c r="AN18" i="22"/>
  <c r="BT20" i="22"/>
  <c r="CR21" i="22"/>
  <c r="BX23" i="22"/>
  <c r="BD24" i="22"/>
  <c r="BH25" i="22"/>
  <c r="BT26" i="22"/>
  <c r="BX27" i="22"/>
  <c r="BX28" i="22"/>
  <c r="AR21" i="22"/>
  <c r="AZ14" i="20"/>
  <c r="CF15" i="18"/>
  <c r="AV19" i="20"/>
  <c r="CB13" i="20"/>
  <c r="AF16" i="20"/>
  <c r="AN13" i="20"/>
  <c r="CF13" i="20"/>
  <c r="AJ14" i="20"/>
  <c r="CV14" i="20"/>
  <c r="AJ16" i="20"/>
  <c r="CV17" i="20"/>
  <c r="CZ14" i="20"/>
  <c r="CR18" i="20"/>
  <c r="AF15" i="20"/>
  <c r="CR15" i="20"/>
  <c r="BP20" i="20"/>
  <c r="BP15" i="20"/>
  <c r="BL16" i="22"/>
  <c r="BX17" i="22"/>
  <c r="AB18" i="22"/>
  <c r="AN19" i="22"/>
  <c r="CB19" i="22"/>
  <c r="BH20" i="22"/>
  <c r="AN22" i="22"/>
  <c r="CB22" i="22"/>
  <c r="X23" i="22"/>
  <c r="BL24" i="22"/>
  <c r="AB25" i="22"/>
  <c r="CN25" i="22"/>
  <c r="BL27" i="22"/>
  <c r="H28" i="22"/>
  <c r="AB28" i="22"/>
  <c r="BL14" i="22"/>
  <c r="BT13" i="24"/>
  <c r="BH15" i="22"/>
  <c r="AB16" i="22"/>
  <c r="AN17" i="22"/>
  <c r="CB17" i="22"/>
  <c r="BD18" i="22"/>
  <c r="CR18" i="22"/>
  <c r="X19" i="22"/>
  <c r="BH13" i="22"/>
  <c r="X14" i="22"/>
  <c r="AF13" i="24"/>
  <c r="X15" i="22"/>
  <c r="BD16" i="22"/>
  <c r="H17" i="22"/>
  <c r="X13" i="22"/>
  <c r="AR18" i="22"/>
  <c r="CJ18" i="22"/>
  <c r="BD19" i="22"/>
  <c r="CR19" i="22"/>
  <c r="BD20" i="22"/>
  <c r="CR20" i="22"/>
  <c r="BH21" i="22"/>
  <c r="AF22" i="22"/>
  <c r="BX22" i="22"/>
  <c r="AN23" i="22"/>
  <c r="CB23" i="22"/>
  <c r="AR25" i="22"/>
  <c r="CJ25" i="22"/>
  <c r="BD26" i="22"/>
  <c r="CR26" i="22"/>
  <c r="BH27" i="22"/>
  <c r="CN28" i="22"/>
  <c r="BD13" i="22"/>
  <c r="AR22" i="22"/>
  <c r="BT23" i="22"/>
  <c r="AB24" i="22"/>
  <c r="AF25" i="22"/>
  <c r="CR25" i="22"/>
  <c r="CJ14" i="22"/>
  <c r="CR13" i="24"/>
  <c r="AV17" i="20"/>
  <c r="AZ15" i="20"/>
  <c r="EB18" i="1"/>
  <c r="AF14" i="20"/>
  <c r="CB19" i="20"/>
  <c r="AJ20" i="20"/>
  <c r="CV20" i="20"/>
  <c r="CF16" i="20"/>
  <c r="AN17" i="20"/>
  <c r="CF17" i="20"/>
  <c r="CJ18" i="20"/>
  <c r="CJ19" i="20"/>
  <c r="EB4" i="1"/>
  <c r="BT13" i="20"/>
  <c r="BP14" i="20"/>
  <c r="AB13" i="22"/>
  <c r="CN13" i="22"/>
  <c r="BD14" i="22"/>
  <c r="BL13" i="24"/>
  <c r="CR14" i="22"/>
  <c r="CZ13" i="24"/>
  <c r="BX15" i="22"/>
  <c r="H16" i="22"/>
  <c r="BL23" i="22"/>
  <c r="H24" i="22"/>
  <c r="BD25" i="22"/>
  <c r="BH26" i="22"/>
  <c r="H27" i="22"/>
  <c r="BL28" i="22"/>
  <c r="AF13" i="22"/>
  <c r="CR13" i="22"/>
  <c r="BH14" i="22"/>
  <c r="BP13" i="24"/>
  <c r="BL19" i="22"/>
  <c r="H20" i="22"/>
  <c r="BL20" i="22"/>
  <c r="H22" i="22"/>
  <c r="BL22" i="22"/>
  <c r="CN24" i="22"/>
  <c r="X26" i="22"/>
  <c r="AB27" i="22"/>
  <c r="CN27" i="22"/>
  <c r="BL17" i="22"/>
  <c r="CB18" i="22"/>
  <c r="BT19" i="22"/>
  <c r="AF21" i="22"/>
  <c r="BX21" i="22"/>
  <c r="BT22" i="22"/>
  <c r="AF24" i="22"/>
  <c r="AN25" i="22"/>
  <c r="AF27" i="22"/>
  <c r="CR27" i="22"/>
  <c r="CR28" i="22"/>
  <c r="BL13" i="22"/>
  <c r="AB14" i="22"/>
  <c r="AJ13" i="24"/>
  <c r="CN14" i="22"/>
  <c r="CV13" i="24"/>
  <c r="BT15" i="22"/>
  <c r="AN16" i="22"/>
  <c r="CB16" i="22"/>
  <c r="BT17" i="22"/>
  <c r="X18" i="22"/>
  <c r="BD23" i="22"/>
  <c r="BH24" i="22"/>
  <c r="X25" i="22"/>
  <c r="AB21" i="22"/>
  <c r="CN21" i="22"/>
  <c r="CJ26" i="22"/>
  <c r="AN13" i="22"/>
  <c r="CJ15" i="22"/>
  <c r="BX16" i="22"/>
  <c r="CJ17" i="22"/>
  <c r="AB20" i="22"/>
  <c r="CN20" i="22"/>
  <c r="AF23" i="22"/>
  <c r="CR23" i="22"/>
  <c r="CR24" i="22"/>
  <c r="AB26" i="22"/>
  <c r="CN26" i="22"/>
  <c r="AF28" i="22"/>
  <c r="CB28" i="22"/>
  <c r="EB6" i="1"/>
  <c r="BP17" i="20"/>
  <c r="AJ18" i="20"/>
  <c r="CV18" i="20"/>
  <c r="AR16" i="22"/>
  <c r="CJ16" i="22"/>
  <c r="CR17" i="22"/>
  <c r="CN18" i="22"/>
  <c r="BH19" i="22"/>
  <c r="AN20" i="22"/>
  <c r="CB20" i="22"/>
  <c r="CJ21" i="22"/>
  <c r="BH22" i="22"/>
  <c r="H23" i="22"/>
  <c r="AR24" i="22"/>
  <c r="CJ24" i="22"/>
  <c r="BT25" i="22"/>
  <c r="AR27" i="22"/>
  <c r="CJ27" i="22"/>
  <c r="X28" i="22"/>
  <c r="AN15" i="22"/>
  <c r="CB15" i="22"/>
  <c r="CN16" i="22"/>
  <c r="BH17" i="22"/>
  <c r="AF18" i="22"/>
  <c r="BX18" i="22"/>
  <c r="H19" i="22"/>
  <c r="H14" i="22"/>
  <c r="H13" i="24"/>
  <c r="H15" i="22"/>
  <c r="BL15" i="22"/>
  <c r="CR16" i="22"/>
  <c r="AZ20" i="20"/>
  <c r="H13" i="22"/>
  <c r="BL18" i="22"/>
  <c r="AF19" i="22"/>
  <c r="BX19" i="22"/>
  <c r="AF20" i="22"/>
  <c r="BX20" i="22"/>
  <c r="AN21" i="22"/>
  <c r="CB21" i="22"/>
  <c r="BD22" i="22"/>
  <c r="CR22" i="22"/>
  <c r="BH23" i="22"/>
  <c r="BL25" i="22"/>
  <c r="AF26" i="22"/>
  <c r="BX26" i="22"/>
  <c r="AN27" i="22"/>
  <c r="CB27" i="22"/>
  <c r="CJ22" i="22"/>
  <c r="CN23" i="22"/>
  <c r="BT24" i="22"/>
  <c r="BX25" i="22"/>
  <c r="CV13" i="20"/>
  <c r="AR14" i="22"/>
  <c r="AZ13" i="24"/>
  <c r="X21" i="22"/>
  <c r="H21" i="22"/>
  <c r="AR28" i="22"/>
  <c r="EB12" i="1"/>
  <c r="AZ19" i="20"/>
  <c r="AZ17" i="20"/>
  <c r="BL18" i="20"/>
  <c r="AN28" i="22"/>
  <c r="AF17" i="20"/>
  <c r="AV13" i="20"/>
  <c r="EB3" i="1"/>
  <c r="EB16" i="1"/>
  <c r="H14" i="14" s="1"/>
  <c r="CJ18" i="18"/>
  <c r="CR16" i="20"/>
  <c r="CB14" i="20"/>
  <c r="CZ15" i="20"/>
  <c r="CB16" i="20"/>
  <c r="BL19" i="20"/>
  <c r="CZ19" i="20"/>
  <c r="AN14" i="20"/>
  <c r="CJ15" i="20"/>
  <c r="BT15" i="20"/>
  <c r="CJ20" i="20"/>
  <c r="CJ13" i="20"/>
  <c r="AJ15" i="20"/>
  <c r="CV19" i="20"/>
  <c r="CR17" i="20"/>
  <c r="CZ18" i="20"/>
  <c r="EB15" i="1"/>
  <c r="EB13" i="1"/>
  <c r="EB11" i="1"/>
  <c r="AV20" i="20"/>
  <c r="AN16" i="6"/>
  <c r="CR14" i="20"/>
  <c r="CB20" i="20"/>
  <c r="CF15" i="20"/>
  <c r="BL17" i="20"/>
  <c r="CZ17" i="20"/>
  <c r="BP19" i="20"/>
  <c r="AN20" i="20"/>
  <c r="CF20" i="20"/>
  <c r="AF19" i="20"/>
  <c r="CR19" i="20"/>
  <c r="AJ19" i="20"/>
  <c r="AZ13" i="20"/>
  <c r="AV14" i="20"/>
  <c r="AZ18" i="20"/>
  <c r="H20" i="18"/>
  <c r="EB10" i="1"/>
  <c r="H16" i="20"/>
  <c r="H16" i="18"/>
  <c r="H14" i="20"/>
  <c r="H15" i="18"/>
  <c r="H17" i="20"/>
  <c r="H17" i="18"/>
  <c r="H13" i="20"/>
  <c r="H14" i="18"/>
  <c r="H18" i="18"/>
  <c r="H19" i="20"/>
  <c r="EB7" i="1"/>
  <c r="BP18" i="18"/>
  <c r="H20" i="20"/>
  <c r="H18" i="20"/>
  <c r="H15" i="20"/>
  <c r="H19" i="18"/>
  <c r="AB26" i="6"/>
  <c r="CN14" i="6"/>
  <c r="CV14" i="18"/>
  <c r="X15" i="6"/>
  <c r="AF15" i="18"/>
  <c r="X16" i="6"/>
  <c r="CN27" i="6"/>
  <c r="BT23" i="6"/>
  <c r="AN24" i="6"/>
  <c r="AV20" i="18"/>
  <c r="CB24" i="6"/>
  <c r="CJ20" i="18"/>
  <c r="BH27" i="6"/>
  <c r="AB27" i="6"/>
  <c r="BL17" i="6"/>
  <c r="BT16" i="18"/>
  <c r="BX20" i="6"/>
  <c r="CF18" i="18"/>
  <c r="AR20" i="6"/>
  <c r="AZ18" i="18"/>
  <c r="CJ20" i="6"/>
  <c r="CR18" i="18"/>
  <c r="BH23" i="6"/>
  <c r="AB24" i="6"/>
  <c r="AJ20" i="18"/>
  <c r="CN24" i="6"/>
  <c r="CV20" i="18"/>
  <c r="BD25" i="6"/>
  <c r="CR25" i="6"/>
  <c r="AR26" i="6"/>
  <c r="CJ26" i="6"/>
  <c r="BD24" i="6"/>
  <c r="BL20" i="18"/>
  <c r="CB25" i="6"/>
  <c r="AR15" i="6"/>
  <c r="AZ15" i="18"/>
  <c r="BT16" i="6"/>
  <c r="AF21" i="6"/>
  <c r="AN19" i="18"/>
  <c r="CJ23" i="6"/>
  <c r="AR24" i="6"/>
  <c r="AZ20" i="18"/>
  <c r="AN19" i="6"/>
  <c r="AB15" i="6"/>
  <c r="AJ15" i="18"/>
  <c r="CN15" i="6"/>
  <c r="CV15" i="18"/>
  <c r="DA15" i="18" s="1"/>
  <c r="BH17" i="6"/>
  <c r="BP16" i="18"/>
  <c r="AF18" i="6"/>
  <c r="AN17" i="18"/>
  <c r="BX18" i="6"/>
  <c r="CF17" i="18"/>
  <c r="BD19" i="6"/>
  <c r="CR19" i="6"/>
  <c r="AB16" i="6"/>
  <c r="AN21" i="6"/>
  <c r="AV19" i="18"/>
  <c r="BT18" i="6"/>
  <c r="CB17" i="18"/>
  <c r="AB18" i="6"/>
  <c r="AJ17" i="18"/>
  <c r="BT19" i="6"/>
  <c r="CB21" i="6"/>
  <c r="CJ19" i="18"/>
  <c r="BH22" i="6"/>
  <c r="BH26" i="6"/>
  <c r="X27" i="6"/>
  <c r="CJ27" i="6"/>
  <c r="BL16" i="6"/>
  <c r="X21" i="6"/>
  <c r="AF19" i="18"/>
  <c r="BX21" i="6"/>
  <c r="CF19" i="18"/>
  <c r="BD22" i="6"/>
  <c r="CR22" i="6"/>
  <c r="BD20" i="6"/>
  <c r="BL18" i="18"/>
  <c r="AR25" i="6"/>
  <c r="CJ25" i="6"/>
  <c r="BD16" i="6"/>
  <c r="CR16" i="6"/>
  <c r="CR21" i="6"/>
  <c r="CZ19" i="18"/>
  <c r="AF26" i="6"/>
  <c r="X20" i="6"/>
  <c r="AF18" i="18"/>
  <c r="X26" i="6"/>
  <c r="BX23" i="6"/>
  <c r="CJ24" i="6"/>
  <c r="CR20" i="18"/>
  <c r="CJ15" i="6"/>
  <c r="CR15" i="18"/>
  <c r="AR18" i="6"/>
  <c r="AZ17" i="18"/>
  <c r="X19" i="6"/>
  <c r="CN21" i="6"/>
  <c r="CV19" i="18"/>
  <c r="AN20" i="6"/>
  <c r="AV18" i="18"/>
  <c r="CN22" i="6"/>
  <c r="AN26" i="6"/>
  <c r="AF16" i="6"/>
  <c r="BD14" i="6"/>
  <c r="BL14" i="18"/>
  <c r="CR14" i="6"/>
  <c r="CZ14" i="18"/>
  <c r="AN14" i="6"/>
  <c r="AV14" i="18"/>
  <c r="CB14" i="6"/>
  <c r="CJ14" i="18"/>
  <c r="CN26" i="6"/>
  <c r="BD27" i="6"/>
  <c r="CR27" i="6"/>
  <c r="AB14" i="6"/>
  <c r="AJ14" i="18"/>
  <c r="BD15" i="6"/>
  <c r="BL15" i="18"/>
  <c r="AF17" i="6"/>
  <c r="AN16" i="18"/>
  <c r="BX17" i="6"/>
  <c r="CF16" i="18"/>
  <c r="AR21" i="6"/>
  <c r="AZ19" i="18"/>
  <c r="CQ13" i="6"/>
  <c r="CY13" i="18"/>
  <c r="AF14" i="6"/>
  <c r="AN14" i="18"/>
  <c r="BX14" i="6"/>
  <c r="CF14" i="18"/>
  <c r="BH14" i="6"/>
  <c r="BP14" i="18"/>
  <c r="CN20" i="6"/>
  <c r="CV18" i="18"/>
  <c r="BT26" i="6"/>
  <c r="AF27" i="6"/>
  <c r="BX27" i="6"/>
  <c r="BT14" i="6"/>
  <c r="CB14" i="18"/>
  <c r="CR15" i="6"/>
  <c r="CZ15" i="18"/>
  <c r="AN18" i="6"/>
  <c r="AV17" i="18"/>
  <c r="AB21" i="6"/>
  <c r="AJ19" i="18"/>
  <c r="X23" i="6"/>
  <c r="AF24" i="6"/>
  <c r="AN20" i="18"/>
  <c r="BD17" i="6"/>
  <c r="BL16" i="18"/>
  <c r="CR17" i="6"/>
  <c r="CZ16" i="18"/>
  <c r="BL21" i="6"/>
  <c r="BT19" i="18"/>
  <c r="BL22" i="6"/>
  <c r="AB23" i="6"/>
  <c r="CN23" i="6"/>
  <c r="BH24" i="6"/>
  <c r="BP20" i="18"/>
  <c r="X25" i="6"/>
  <c r="AN27" i="6"/>
  <c r="CB27" i="6"/>
  <c r="CJ17" i="6"/>
  <c r="CR16" i="18"/>
  <c r="DA16" i="18" s="1"/>
  <c r="BL20" i="6"/>
  <c r="BT18" i="18"/>
  <c r="AN23" i="6"/>
  <c r="CB23" i="6"/>
  <c r="BT24" i="6"/>
  <c r="CB20" i="18"/>
  <c r="AF25" i="6"/>
  <c r="BX25" i="6"/>
  <c r="BL26" i="6"/>
  <c r="CR23" i="6"/>
  <c r="AN25" i="6"/>
  <c r="CJ18" i="6"/>
  <c r="CR17" i="18"/>
  <c r="AR23" i="6"/>
  <c r="BT20" i="6"/>
  <c r="CB18" i="18"/>
  <c r="AN22" i="6"/>
  <c r="CB19" i="6"/>
  <c r="BT22" i="6"/>
  <c r="BL14" i="6"/>
  <c r="BT14" i="18"/>
  <c r="CR24" i="6"/>
  <c r="CZ20" i="18"/>
  <c r="BT15" i="6"/>
  <c r="CB15" i="18"/>
  <c r="AN17" i="6"/>
  <c r="AV16" i="18"/>
  <c r="CB17" i="6"/>
  <c r="CJ16" i="18"/>
  <c r="BD18" i="6"/>
  <c r="BL17" i="18"/>
  <c r="CR18" i="6"/>
  <c r="CZ17" i="18"/>
  <c r="BX19" i="6"/>
  <c r="BH21" i="6"/>
  <c r="BP19" i="18"/>
  <c r="BL15" i="6"/>
  <c r="BT15" i="18"/>
  <c r="AB20" i="6"/>
  <c r="AJ18" i="18"/>
  <c r="AF15" i="6"/>
  <c r="AN15" i="18"/>
  <c r="BH18" i="6"/>
  <c r="BP17" i="18"/>
  <c r="AB19" i="6"/>
  <c r="CN19" i="6"/>
  <c r="BT21" i="6"/>
  <c r="CB19" i="18"/>
  <c r="BL23" i="6"/>
  <c r="BX24" i="6"/>
  <c r="CF20" i="18"/>
  <c r="CB26" i="6"/>
  <c r="BL27" i="6"/>
  <c r="AR16" i="6"/>
  <c r="CJ16" i="6"/>
  <c r="CJ21" i="6"/>
  <c r="CR19" i="18"/>
  <c r="AF22" i="6"/>
  <c r="BX22" i="6"/>
  <c r="BX26" i="6"/>
  <c r="AF20" i="6"/>
  <c r="AN18" i="18"/>
  <c r="CR20" i="6"/>
  <c r="CZ18" i="18"/>
  <c r="BL25" i="6"/>
  <c r="BX16" i="6"/>
  <c r="X17" i="6"/>
  <c r="AF16" i="18"/>
  <c r="AR17" i="6"/>
  <c r="AZ16" i="18"/>
  <c r="X22" i="6"/>
  <c r="CJ22" i="6"/>
  <c r="X24" i="6"/>
  <c r="AF20" i="18"/>
  <c r="BH25" i="6"/>
  <c r="CJ14" i="6"/>
  <c r="CR14" i="18"/>
  <c r="CN18" i="6"/>
  <c r="CV17" i="18"/>
  <c r="BH19" i="6"/>
  <c r="AR27" i="6"/>
  <c r="X14" i="6"/>
  <c r="AF14" i="18"/>
  <c r="H31" i="14"/>
  <c r="B13" i="15"/>
  <c r="C13" i="15"/>
  <c r="D13" i="15"/>
  <c r="E13" i="15"/>
  <c r="F13" i="15"/>
  <c r="B14" i="15"/>
  <c r="C14" i="15"/>
  <c r="D14" i="15"/>
  <c r="E14" i="15"/>
  <c r="F14" i="15"/>
  <c r="B15" i="15"/>
  <c r="C15" i="15"/>
  <c r="D15" i="15"/>
  <c r="E15" i="15"/>
  <c r="F15" i="15"/>
  <c r="B16" i="15"/>
  <c r="C16" i="15"/>
  <c r="D16" i="15"/>
  <c r="E16" i="15"/>
  <c r="F16" i="15"/>
  <c r="B17" i="15"/>
  <c r="C17" i="15"/>
  <c r="D17" i="15"/>
  <c r="E17" i="15"/>
  <c r="F17" i="15"/>
  <c r="B18" i="15"/>
  <c r="C18" i="15"/>
  <c r="D18" i="15"/>
  <c r="E18" i="15"/>
  <c r="F18" i="15"/>
  <c r="B19" i="15"/>
  <c r="C19" i="15"/>
  <c r="D19" i="15"/>
  <c r="E19" i="15"/>
  <c r="F19" i="15"/>
  <c r="B20" i="15"/>
  <c r="C20" i="15"/>
  <c r="D20" i="15"/>
  <c r="E20" i="15"/>
  <c r="F20" i="15"/>
  <c r="B21" i="15"/>
  <c r="C21" i="15"/>
  <c r="D21" i="15"/>
  <c r="E21" i="15"/>
  <c r="F21" i="15"/>
  <c r="B22" i="15"/>
  <c r="C22" i="15"/>
  <c r="D22" i="15"/>
  <c r="E22" i="15"/>
  <c r="F22" i="15"/>
  <c r="B23" i="15"/>
  <c r="C23" i="15"/>
  <c r="D23" i="15"/>
  <c r="E23" i="15"/>
  <c r="F23" i="15"/>
  <c r="B24" i="15"/>
  <c r="C24" i="15"/>
  <c r="D24" i="15"/>
  <c r="E24" i="15"/>
  <c r="F24" i="15"/>
  <c r="B25" i="15"/>
  <c r="C25" i="15"/>
  <c r="D25" i="15"/>
  <c r="E25" i="15"/>
  <c r="F25" i="15"/>
  <c r="B26" i="15"/>
  <c r="C26" i="15"/>
  <c r="D26" i="15"/>
  <c r="E26" i="15"/>
  <c r="F26" i="15"/>
  <c r="B27" i="15"/>
  <c r="C27" i="15"/>
  <c r="D27" i="15"/>
  <c r="E27" i="15"/>
  <c r="F27" i="15"/>
  <c r="B28" i="15"/>
  <c r="C28" i="15"/>
  <c r="D28" i="15"/>
  <c r="E28" i="15"/>
  <c r="F28" i="15"/>
  <c r="B29" i="15"/>
  <c r="C29" i="15"/>
  <c r="D29" i="15"/>
  <c r="E29" i="15"/>
  <c r="F29" i="15"/>
  <c r="B30" i="15"/>
  <c r="C30" i="15"/>
  <c r="D30" i="15"/>
  <c r="E30" i="15"/>
  <c r="F30" i="15"/>
  <c r="B31" i="15"/>
  <c r="C31" i="15"/>
  <c r="D31" i="15"/>
  <c r="E31" i="15"/>
  <c r="F31" i="15"/>
  <c r="B32" i="15"/>
  <c r="C32" i="15"/>
  <c r="D32" i="15"/>
  <c r="E32" i="15"/>
  <c r="F32" i="15"/>
  <c r="B33" i="15"/>
  <c r="C33" i="15"/>
  <c r="D33" i="15"/>
  <c r="E33" i="15"/>
  <c r="F33" i="15"/>
  <c r="B34" i="15"/>
  <c r="C34" i="15"/>
  <c r="D34" i="15"/>
  <c r="E34" i="15"/>
  <c r="F34" i="15"/>
  <c r="B35" i="15"/>
  <c r="C35" i="15"/>
  <c r="D35" i="15"/>
  <c r="E35" i="15"/>
  <c r="F35" i="15"/>
  <c r="B36" i="15"/>
  <c r="C36" i="15"/>
  <c r="D36" i="15"/>
  <c r="E36" i="15"/>
  <c r="F36" i="15"/>
  <c r="B37" i="15"/>
  <c r="C37" i="15"/>
  <c r="D37" i="15"/>
  <c r="E37" i="15"/>
  <c r="F37" i="15"/>
  <c r="B38" i="15"/>
  <c r="C38" i="15"/>
  <c r="D38" i="15"/>
  <c r="E38" i="15"/>
  <c r="F38" i="15"/>
  <c r="B39" i="15"/>
  <c r="C39" i="15"/>
  <c r="D39" i="15"/>
  <c r="E39" i="15"/>
  <c r="F39" i="15"/>
  <c r="B40" i="15"/>
  <c r="C40" i="15"/>
  <c r="D40" i="15"/>
  <c r="E40" i="15"/>
  <c r="F40" i="15"/>
  <c r="B41" i="15"/>
  <c r="C41" i="15"/>
  <c r="D41" i="15"/>
  <c r="E41" i="15"/>
  <c r="F41" i="15"/>
  <c r="B42" i="15"/>
  <c r="C42" i="15"/>
  <c r="D42" i="15"/>
  <c r="E42" i="15"/>
  <c r="F42" i="15"/>
  <c r="B43" i="15"/>
  <c r="C43" i="15"/>
  <c r="D43" i="15"/>
  <c r="E43" i="15"/>
  <c r="F43" i="15"/>
  <c r="B44" i="15"/>
  <c r="C44" i="15"/>
  <c r="D44" i="15"/>
  <c r="E44" i="15"/>
  <c r="F44" i="15"/>
  <c r="B45" i="15"/>
  <c r="C45" i="15"/>
  <c r="D45" i="15"/>
  <c r="E45" i="15"/>
  <c r="F45" i="15"/>
  <c r="B46" i="15"/>
  <c r="C46" i="15"/>
  <c r="D46" i="15"/>
  <c r="E46" i="15"/>
  <c r="F46" i="15"/>
  <c r="B47" i="15"/>
  <c r="C47" i="15"/>
  <c r="D47" i="15"/>
  <c r="E47" i="15"/>
  <c r="F47" i="15"/>
  <c r="B48" i="15"/>
  <c r="C48" i="15"/>
  <c r="D48" i="15"/>
  <c r="E48" i="15"/>
  <c r="F48" i="15"/>
  <c r="B49" i="15"/>
  <c r="C49" i="15"/>
  <c r="D49" i="15"/>
  <c r="E49" i="15"/>
  <c r="F49" i="15"/>
  <c r="B50" i="15"/>
  <c r="C50" i="15"/>
  <c r="D50" i="15"/>
  <c r="E50" i="15"/>
  <c r="F50" i="15"/>
  <c r="B51" i="15"/>
  <c r="C51" i="15"/>
  <c r="D51" i="15"/>
  <c r="E51" i="15"/>
  <c r="F51" i="15"/>
  <c r="B52" i="15"/>
  <c r="C52" i="15"/>
  <c r="D52" i="15"/>
  <c r="E52" i="15"/>
  <c r="F52" i="15"/>
  <c r="B53" i="15"/>
  <c r="C53" i="15"/>
  <c r="D53" i="15"/>
  <c r="E53" i="15"/>
  <c r="F53" i="15"/>
  <c r="B54" i="15"/>
  <c r="C54" i="15"/>
  <c r="D54" i="15"/>
  <c r="E54" i="15"/>
  <c r="F54" i="15"/>
  <c r="B55" i="15"/>
  <c r="C55" i="15"/>
  <c r="D55" i="15"/>
  <c r="E55" i="15"/>
  <c r="F55" i="15"/>
  <c r="B56" i="15"/>
  <c r="C56" i="15"/>
  <c r="D56" i="15"/>
  <c r="E56" i="15"/>
  <c r="F56" i="15"/>
  <c r="B57" i="15"/>
  <c r="C57" i="15"/>
  <c r="D57" i="15"/>
  <c r="E57" i="15"/>
  <c r="F57" i="15"/>
  <c r="B58" i="15"/>
  <c r="C58" i="15"/>
  <c r="D58" i="15"/>
  <c r="E58" i="15"/>
  <c r="F58" i="15"/>
  <c r="B59" i="15"/>
  <c r="C59" i="15"/>
  <c r="D59" i="15"/>
  <c r="E59" i="15"/>
  <c r="F59" i="15"/>
  <c r="B60" i="15"/>
  <c r="C60" i="15"/>
  <c r="D60" i="15"/>
  <c r="E60" i="15"/>
  <c r="F60" i="15"/>
  <c r="B61" i="15"/>
  <c r="C61" i="15"/>
  <c r="D61" i="15"/>
  <c r="E61" i="15"/>
  <c r="F61" i="15"/>
  <c r="B62" i="15"/>
  <c r="C62" i="15"/>
  <c r="D62" i="15"/>
  <c r="E62" i="15"/>
  <c r="F62" i="15"/>
  <c r="B63" i="15"/>
  <c r="C63" i="15"/>
  <c r="D63" i="15"/>
  <c r="E63" i="15"/>
  <c r="F63" i="15"/>
  <c r="B64" i="15"/>
  <c r="C64" i="15"/>
  <c r="D64" i="15"/>
  <c r="E64" i="15"/>
  <c r="F64" i="15"/>
  <c r="B65" i="15"/>
  <c r="C65" i="15"/>
  <c r="D65" i="15"/>
  <c r="E65" i="15"/>
  <c r="F65" i="15"/>
  <c r="B66" i="15"/>
  <c r="C66" i="15"/>
  <c r="D66" i="15"/>
  <c r="E66" i="15"/>
  <c r="F66" i="15"/>
  <c r="B67" i="15"/>
  <c r="C67" i="15"/>
  <c r="D67" i="15"/>
  <c r="E67" i="15"/>
  <c r="F67" i="15"/>
  <c r="A1" i="15"/>
  <c r="A2" i="15"/>
  <c r="A3" i="15"/>
  <c r="A4" i="15"/>
  <c r="A5" i="15"/>
  <c r="A6" i="15"/>
  <c r="A7" i="15"/>
  <c r="A8" i="15"/>
  <c r="DA18" i="18" l="1"/>
  <c r="DA17" i="18"/>
  <c r="DA20" i="18"/>
  <c r="DA14" i="18"/>
  <c r="DA19" i="18"/>
  <c r="DA19" i="24"/>
  <c r="DA20" i="24"/>
  <c r="DA25" i="24"/>
  <c r="DA13" i="24"/>
  <c r="DA17" i="24"/>
  <c r="DA18" i="24"/>
  <c r="DA29" i="24"/>
  <c r="DA14" i="24"/>
  <c r="DA15" i="24"/>
  <c r="DA23" i="24"/>
  <c r="DA31" i="24"/>
  <c r="DA16" i="24"/>
  <c r="DA28" i="24"/>
  <c r="DA26" i="24"/>
  <c r="DA22" i="24"/>
  <c r="DA21" i="24"/>
  <c r="DA33" i="24"/>
  <c r="DA24" i="24"/>
  <c r="DA30" i="24"/>
  <c r="DA27" i="24"/>
  <c r="DA19" i="20"/>
  <c r="DA16" i="20"/>
  <c r="DA15" i="20"/>
  <c r="DA17" i="20"/>
  <c r="DA13" i="20"/>
  <c r="DA14" i="20"/>
  <c r="DA20" i="20"/>
  <c r="DA18" i="20"/>
  <c r="F24" i="25"/>
  <c r="EC19" i="1"/>
  <c r="G43" i="14" s="1"/>
  <c r="H36" i="14"/>
  <c r="EC28" i="1"/>
  <c r="G36" i="14" s="1"/>
  <c r="H20" i="14"/>
  <c r="EC24" i="1"/>
  <c r="EC29" i="1"/>
  <c r="H42" i="14"/>
  <c r="EC31" i="1"/>
  <c r="G19" i="16"/>
  <c r="EC33" i="1"/>
  <c r="F20" i="25"/>
  <c r="EC32" i="1"/>
  <c r="G32" i="14" s="1"/>
  <c r="EC39" i="1"/>
  <c r="A17" i="25" s="1"/>
  <c r="H47" i="14"/>
  <c r="EC27" i="1"/>
  <c r="EC37" i="1"/>
  <c r="F16" i="25"/>
  <c r="H49" i="14"/>
  <c r="EC22" i="1"/>
  <c r="EC30" i="1"/>
  <c r="H17" i="14"/>
  <c r="EC26" i="1"/>
  <c r="G17" i="14" s="1"/>
  <c r="H46" i="14"/>
  <c r="EC34" i="1"/>
  <c r="F30" i="25"/>
  <c r="EC21" i="1"/>
  <c r="H29" i="14"/>
  <c r="EC35" i="1"/>
  <c r="F19" i="25"/>
  <c r="EC38" i="1"/>
  <c r="A24" i="25" s="1"/>
  <c r="F18" i="25"/>
  <c r="EC25" i="1"/>
  <c r="H48" i="14"/>
  <c r="EC36" i="1"/>
  <c r="F31" i="25"/>
  <c r="H44" i="14"/>
  <c r="EC23" i="1"/>
  <c r="EC20" i="1"/>
  <c r="G45" i="14" s="1"/>
  <c r="H22" i="14"/>
  <c r="ED7" i="1"/>
  <c r="G32" i="16"/>
  <c r="ED5" i="1"/>
  <c r="ED33" i="1"/>
  <c r="ED30" i="1"/>
  <c r="ED24" i="1"/>
  <c r="ED13" i="1"/>
  <c r="ED11" i="1"/>
  <c r="ED34" i="1"/>
  <c r="ED31" i="1"/>
  <c r="ED25" i="1"/>
  <c r="ED14" i="1"/>
  <c r="ED35" i="1"/>
  <c r="ED32" i="1"/>
  <c r="ED26" i="1"/>
  <c r="ED15" i="1"/>
  <c r="ED3" i="1"/>
  <c r="ED38" i="1"/>
  <c r="ED36" i="1"/>
  <c r="ED19" i="1"/>
  <c r="ED17" i="1"/>
  <c r="ED16" i="1"/>
  <c r="ED37" i="1"/>
  <c r="ED20" i="1"/>
  <c r="ED18" i="1"/>
  <c r="ED28" i="1"/>
  <c r="ED27" i="1"/>
  <c r="ED21" i="1"/>
  <c r="ED22" i="1"/>
  <c r="ED39" i="1"/>
  <c r="ED29" i="1"/>
  <c r="ED23" i="1"/>
  <c r="ED12" i="1"/>
  <c r="G30" i="16"/>
  <c r="ED4" i="1"/>
  <c r="H18" i="14"/>
  <c r="ED8" i="1"/>
  <c r="H24" i="14"/>
  <c r="ED6" i="1"/>
  <c r="F17" i="19"/>
  <c r="ED9" i="1"/>
  <c r="H34" i="14"/>
  <c r="ED10" i="1"/>
  <c r="H28" i="14"/>
  <c r="F29" i="27"/>
  <c r="H29" i="27" s="1"/>
  <c r="H19" i="14"/>
  <c r="H30" i="14"/>
  <c r="F18" i="27"/>
  <c r="F15" i="27"/>
  <c r="G15" i="16"/>
  <c r="F22" i="27"/>
  <c r="H33" i="14"/>
  <c r="F15" i="25"/>
  <c r="F27" i="27"/>
  <c r="F20" i="27"/>
  <c r="F26" i="27"/>
  <c r="EC54" i="1"/>
  <c r="F14" i="27"/>
  <c r="F30" i="27"/>
  <c r="H30" i="27" s="1"/>
  <c r="F21" i="27"/>
  <c r="F13" i="27"/>
  <c r="EC51" i="1"/>
  <c r="EC17" i="1"/>
  <c r="H26" i="14"/>
  <c r="H32" i="14"/>
  <c r="H45" i="14"/>
  <c r="EC45" i="1"/>
  <c r="H40" i="14"/>
  <c r="F26" i="25"/>
  <c r="EC52" i="1"/>
  <c r="EC56" i="1"/>
  <c r="A24" i="27" s="1"/>
  <c r="H24" i="27" s="1"/>
  <c r="EC55" i="1"/>
  <c r="A17" i="27" s="1"/>
  <c r="EC42" i="1"/>
  <c r="EC48" i="1"/>
  <c r="EC40" i="1"/>
  <c r="A23" i="27" s="1"/>
  <c r="H23" i="27" s="1"/>
  <c r="EC53" i="1"/>
  <c r="F16" i="27"/>
  <c r="EC43" i="1"/>
  <c r="EC46" i="1"/>
  <c r="G35" i="16"/>
  <c r="G14" i="16"/>
  <c r="G18" i="16"/>
  <c r="EC44" i="1"/>
  <c r="EC49" i="1"/>
  <c r="EC41" i="1"/>
  <c r="F21" i="25"/>
  <c r="F29" i="25"/>
  <c r="G23" i="16"/>
  <c r="G27" i="16"/>
  <c r="H21" i="14"/>
  <c r="EC9" i="1"/>
  <c r="G25" i="14" s="1"/>
  <c r="H25" i="14"/>
  <c r="G36" i="16"/>
  <c r="G28" i="16"/>
  <c r="G24" i="16"/>
  <c r="F19" i="7"/>
  <c r="EC47" i="1"/>
  <c r="EC57" i="1"/>
  <c r="A19" i="27" s="1"/>
  <c r="EC50" i="1"/>
  <c r="G16" i="14"/>
  <c r="G31" i="16"/>
  <c r="F32" i="25"/>
  <c r="G26" i="16"/>
  <c r="G34" i="16"/>
  <c r="G22" i="16"/>
  <c r="G16" i="16"/>
  <c r="G20" i="16"/>
  <c r="EC18" i="1"/>
  <c r="H16" i="14"/>
  <c r="F13" i="25"/>
  <c r="F23" i="25"/>
  <c r="H15" i="14"/>
  <c r="F27" i="25"/>
  <c r="F28" i="25"/>
  <c r="EC8" i="1"/>
  <c r="G18" i="14" s="1"/>
  <c r="H39" i="14"/>
  <c r="F17" i="25"/>
  <c r="F13" i="21"/>
  <c r="EC15" i="1"/>
  <c r="F14" i="25"/>
  <c r="H27" i="14"/>
  <c r="F22" i="25"/>
  <c r="F24" i="23"/>
  <c r="H35" i="14"/>
  <c r="F25" i="25"/>
  <c r="F26" i="23"/>
  <c r="H41" i="14"/>
  <c r="F33" i="25"/>
  <c r="F16" i="23"/>
  <c r="F28" i="23"/>
  <c r="EC10" i="1"/>
  <c r="G34" i="14" s="1"/>
  <c r="EC14" i="1"/>
  <c r="F14" i="23"/>
  <c r="EC13" i="1"/>
  <c r="EC12" i="1"/>
  <c r="EC11" i="1"/>
  <c r="F14" i="21"/>
  <c r="F27" i="23"/>
  <c r="EC16" i="1"/>
  <c r="G14" i="14" s="1"/>
  <c r="F20" i="21"/>
  <c r="F20" i="23"/>
  <c r="H37" i="14"/>
  <c r="F18" i="23"/>
  <c r="F25" i="23"/>
  <c r="EC6" i="1"/>
  <c r="G24" i="14" s="1"/>
  <c r="F17" i="23"/>
  <c r="F15" i="23"/>
  <c r="F19" i="21"/>
  <c r="F19" i="23"/>
  <c r="F16" i="21"/>
  <c r="F23" i="23"/>
  <c r="H23" i="14"/>
  <c r="F18" i="21"/>
  <c r="F21" i="23"/>
  <c r="F17" i="21"/>
  <c r="F13" i="23"/>
  <c r="EC7" i="1"/>
  <c r="G22" i="14" s="1"/>
  <c r="EC3" i="1"/>
  <c r="G37" i="14" s="1"/>
  <c r="EC5" i="1"/>
  <c r="G30" i="14" s="1"/>
  <c r="EC4" i="1"/>
  <c r="G19" i="14" s="1"/>
  <c r="F18" i="19"/>
  <c r="F20" i="7"/>
  <c r="F16" i="19"/>
  <c r="F24" i="7"/>
  <c r="F15" i="19"/>
  <c r="F25" i="7"/>
  <c r="F13" i="19"/>
  <c r="F18" i="7"/>
  <c r="F27" i="7"/>
  <c r="F20" i="19"/>
  <c r="F15" i="7"/>
  <c r="F14" i="19"/>
  <c r="F21" i="7"/>
  <c r="F16" i="7"/>
  <c r="F26" i="7"/>
  <c r="F19" i="19"/>
  <c r="F22" i="7"/>
  <c r="F14" i="7"/>
  <c r="F17" i="7"/>
  <c r="F23" i="7"/>
  <c r="F71" i="15"/>
  <c r="F74" i="15"/>
  <c r="F73" i="15"/>
  <c r="F70" i="15"/>
  <c r="F72" i="15"/>
  <c r="F75" i="15"/>
  <c r="F39" i="14"/>
  <c r="F48" i="14"/>
  <c r="F15" i="14"/>
  <c r="F28" i="14"/>
  <c r="F29" i="14"/>
  <c r="F32" i="14"/>
  <c r="F22" i="14"/>
  <c r="F35" i="14"/>
  <c r="F13" i="14"/>
  <c r="F42" i="14"/>
  <c r="F34" i="14"/>
  <c r="F37" i="14"/>
  <c r="F20" i="14"/>
  <c r="F47" i="14"/>
  <c r="F16" i="14"/>
  <c r="F18" i="14"/>
  <c r="F36" i="14"/>
  <c r="F33" i="14"/>
  <c r="F23" i="14"/>
  <c r="F26" i="14"/>
  <c r="F41" i="14"/>
  <c r="F17" i="14"/>
  <c r="F30" i="14"/>
  <c r="F40" i="14"/>
  <c r="F14" i="14"/>
  <c r="F45" i="14"/>
  <c r="F49" i="14"/>
  <c r="F27" i="14"/>
  <c r="F43" i="14"/>
  <c r="F24" i="14"/>
  <c r="F31" i="14"/>
  <c r="F44" i="14"/>
  <c r="F19" i="14"/>
  <c r="F46" i="14"/>
  <c r="F38" i="14"/>
  <c r="F25" i="14"/>
  <c r="F21" i="14"/>
  <c r="C19" i="14"/>
  <c r="D19" i="14"/>
  <c r="E19" i="14"/>
  <c r="C30" i="14"/>
  <c r="D30" i="14"/>
  <c r="E30" i="14"/>
  <c r="C24" i="14"/>
  <c r="D24" i="14"/>
  <c r="E24" i="14"/>
  <c r="C22" i="14"/>
  <c r="D22" i="14"/>
  <c r="E22" i="14"/>
  <c r="C18" i="14"/>
  <c r="D18" i="14"/>
  <c r="E18" i="14"/>
  <c r="C25" i="14"/>
  <c r="D25" i="14"/>
  <c r="E25" i="14"/>
  <c r="C34" i="14"/>
  <c r="D34" i="14"/>
  <c r="E34" i="14"/>
  <c r="C27" i="14"/>
  <c r="D27" i="14"/>
  <c r="E27" i="14"/>
  <c r="C15" i="14"/>
  <c r="D15" i="14"/>
  <c r="E15" i="14"/>
  <c r="C39" i="14"/>
  <c r="D39" i="14"/>
  <c r="E39" i="14"/>
  <c r="C13" i="14"/>
  <c r="D13" i="14"/>
  <c r="E13" i="14"/>
  <c r="C23" i="14"/>
  <c r="D23" i="14"/>
  <c r="E23" i="14"/>
  <c r="C14" i="14"/>
  <c r="D14" i="14"/>
  <c r="E14" i="14"/>
  <c r="C41" i="14"/>
  <c r="D41" i="14"/>
  <c r="E41" i="14"/>
  <c r="C31" i="14"/>
  <c r="D31" i="14"/>
  <c r="E31" i="14"/>
  <c r="C35" i="14"/>
  <c r="D35" i="14"/>
  <c r="E35" i="14"/>
  <c r="C43" i="14"/>
  <c r="D43" i="14"/>
  <c r="E43" i="14"/>
  <c r="C45" i="14"/>
  <c r="D45" i="14"/>
  <c r="E45" i="14"/>
  <c r="C16" i="14"/>
  <c r="D16" i="14"/>
  <c r="E16" i="14"/>
  <c r="C49" i="14"/>
  <c r="D49" i="14"/>
  <c r="E49" i="14"/>
  <c r="C44" i="14"/>
  <c r="D44" i="14"/>
  <c r="E44" i="14"/>
  <c r="C20" i="14"/>
  <c r="D20" i="14"/>
  <c r="E20" i="14"/>
  <c r="C26" i="14"/>
  <c r="D26" i="14"/>
  <c r="E26" i="14"/>
  <c r="C17" i="14"/>
  <c r="D17" i="14"/>
  <c r="E17" i="14"/>
  <c r="C47" i="14"/>
  <c r="D47" i="14"/>
  <c r="E47" i="14"/>
  <c r="C36" i="14"/>
  <c r="D36" i="14"/>
  <c r="E36" i="14"/>
  <c r="C33" i="14"/>
  <c r="D33" i="14"/>
  <c r="E33" i="14"/>
  <c r="C40" i="14"/>
  <c r="D40" i="14"/>
  <c r="E40" i="14"/>
  <c r="C42" i="14"/>
  <c r="D42" i="14"/>
  <c r="E42" i="14"/>
  <c r="C32" i="14"/>
  <c r="D32" i="14"/>
  <c r="E32" i="14"/>
  <c r="C28" i="14"/>
  <c r="D28" i="14"/>
  <c r="E28" i="14"/>
  <c r="C46" i="14"/>
  <c r="D46" i="14"/>
  <c r="E46" i="14"/>
  <c r="C29" i="14"/>
  <c r="D29" i="14"/>
  <c r="E29" i="14"/>
  <c r="C48" i="14"/>
  <c r="D48" i="14"/>
  <c r="E48" i="14"/>
  <c r="C21" i="14"/>
  <c r="D21" i="14"/>
  <c r="E21" i="14"/>
  <c r="C38" i="14"/>
  <c r="D38" i="14"/>
  <c r="E38" i="14"/>
  <c r="E37" i="14"/>
  <c r="D37" i="14"/>
  <c r="C37" i="14"/>
  <c r="A8" i="14"/>
  <c r="A7" i="14"/>
  <c r="A6" i="14"/>
  <c r="A5" i="14"/>
  <c r="A4" i="14"/>
  <c r="A3" i="14"/>
  <c r="A2" i="14"/>
  <c r="A1" i="14"/>
  <c r="Q8" i="6"/>
  <c r="AD11" i="6"/>
  <c r="Z11" i="6"/>
  <c r="V11" i="6"/>
  <c r="E19" i="7"/>
  <c r="D19" i="7"/>
  <c r="C19" i="7"/>
  <c r="E15" i="7"/>
  <c r="D15" i="7"/>
  <c r="C15" i="7"/>
  <c r="E17" i="7"/>
  <c r="D17" i="7"/>
  <c r="E20" i="7"/>
  <c r="D20" i="7"/>
  <c r="C20" i="7"/>
  <c r="E24" i="7"/>
  <c r="D24" i="7"/>
  <c r="C24" i="7"/>
  <c r="E16" i="7"/>
  <c r="D16" i="7"/>
  <c r="C16" i="7"/>
  <c r="E13" i="7"/>
  <c r="D13" i="7"/>
  <c r="C13" i="7"/>
  <c r="E27" i="7"/>
  <c r="D27" i="7"/>
  <c r="C27" i="7"/>
  <c r="E26" i="7"/>
  <c r="D26" i="7"/>
  <c r="C26" i="7"/>
  <c r="E18" i="7"/>
  <c r="D18" i="7"/>
  <c r="C18" i="7"/>
  <c r="E14" i="7"/>
  <c r="D14" i="7"/>
  <c r="C14" i="7"/>
  <c r="E22" i="7"/>
  <c r="D22" i="7"/>
  <c r="C22" i="7"/>
  <c r="E21" i="7"/>
  <c r="D21" i="7"/>
  <c r="C21" i="7"/>
  <c r="E23" i="7"/>
  <c r="D23" i="7"/>
  <c r="C23" i="7"/>
  <c r="E25" i="7"/>
  <c r="D25" i="7"/>
  <c r="C25" i="7"/>
  <c r="A6" i="7"/>
  <c r="A5" i="7"/>
  <c r="A4" i="7"/>
  <c r="A3" i="7"/>
  <c r="A2" i="7"/>
  <c r="A1" i="7"/>
  <c r="T27" i="6"/>
  <c r="S27" i="6"/>
  <c r="R27" i="6"/>
  <c r="T26" i="6"/>
  <c r="S26" i="6"/>
  <c r="R26" i="6"/>
  <c r="T25" i="6"/>
  <c r="S25" i="6"/>
  <c r="R25" i="6"/>
  <c r="T24" i="6"/>
  <c r="S24" i="6"/>
  <c r="R24" i="6"/>
  <c r="T23" i="6"/>
  <c r="S23" i="6"/>
  <c r="R23" i="6"/>
  <c r="T22" i="6"/>
  <c r="S22" i="6"/>
  <c r="R22" i="6"/>
  <c r="T21" i="6"/>
  <c r="S21" i="6"/>
  <c r="R21" i="6"/>
  <c r="T20" i="6"/>
  <c r="S20" i="6"/>
  <c r="R20" i="6"/>
  <c r="T19" i="6"/>
  <c r="S19" i="6"/>
  <c r="R19" i="6"/>
  <c r="T18" i="6"/>
  <c r="S18" i="6"/>
  <c r="R18" i="6"/>
  <c r="T17" i="6"/>
  <c r="S17" i="6"/>
  <c r="R17" i="6"/>
  <c r="T16" i="6"/>
  <c r="S16" i="6"/>
  <c r="R16" i="6"/>
  <c r="T15" i="6"/>
  <c r="S15" i="6"/>
  <c r="R15" i="6"/>
  <c r="T14" i="6"/>
  <c r="S14" i="6"/>
  <c r="R14" i="6"/>
  <c r="T13" i="6"/>
  <c r="S13" i="6"/>
  <c r="R13" i="6"/>
  <c r="Q7" i="6"/>
  <c r="Q6" i="6"/>
  <c r="Q5" i="6"/>
  <c r="Q4" i="6"/>
  <c r="Q3" i="6"/>
  <c r="Q2" i="6"/>
  <c r="G55" i="1"/>
  <c r="G56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H17" i="19" l="1"/>
  <c r="H17" i="27"/>
  <c r="H19" i="27"/>
  <c r="G17" i="27"/>
  <c r="G24" i="27"/>
  <c r="G19" i="27"/>
  <c r="G38" i="14"/>
  <c r="G31" i="14"/>
  <c r="G24" i="25"/>
  <c r="H24" i="25"/>
  <c r="G17" i="25"/>
  <c r="H17" i="25"/>
  <c r="G21" i="14"/>
  <c r="A16" i="25"/>
  <c r="G48" i="14"/>
  <c r="A31" i="25"/>
  <c r="G46" i="14"/>
  <c r="A30" i="25"/>
  <c r="G29" i="14"/>
  <c r="A19" i="25"/>
  <c r="G28" i="14"/>
  <c r="A20" i="25"/>
  <c r="A14" i="25"/>
  <c r="G14" i="25" s="1"/>
  <c r="A27" i="27"/>
  <c r="H27" i="27" s="1"/>
  <c r="A15" i="27"/>
  <c r="G15" i="27" s="1"/>
  <c r="G41" i="14"/>
  <c r="A21" i="27"/>
  <c r="G21" i="27" s="1"/>
  <c r="A23" i="25"/>
  <c r="H23" i="25" s="1"/>
  <c r="A14" i="27"/>
  <c r="G14" i="27" s="1"/>
  <c r="A30" i="27"/>
  <c r="G30" i="27" s="1"/>
  <c r="A16" i="27"/>
  <c r="G16" i="27" s="1"/>
  <c r="A32" i="25"/>
  <c r="H32" i="25" s="1"/>
  <c r="A25" i="27"/>
  <c r="A13" i="27"/>
  <c r="H13" i="27" s="1"/>
  <c r="A26" i="27"/>
  <c r="H26" i="27" s="1"/>
  <c r="A33" i="25"/>
  <c r="H33" i="25" s="1"/>
  <c r="A17" i="19"/>
  <c r="G17" i="19" s="1"/>
  <c r="A29" i="27"/>
  <c r="A20" i="27"/>
  <c r="H20" i="27" s="1"/>
  <c r="A28" i="27"/>
  <c r="A18" i="27"/>
  <c r="H18" i="27" s="1"/>
  <c r="A22" i="27"/>
  <c r="G22" i="27" s="1"/>
  <c r="G33" i="14"/>
  <c r="G20" i="14"/>
  <c r="G26" i="14"/>
  <c r="G13" i="14"/>
  <c r="G49" i="14"/>
  <c r="A21" i="25"/>
  <c r="G21" i="25" s="1"/>
  <c r="G40" i="14"/>
  <c r="A18" i="25"/>
  <c r="A13" i="21"/>
  <c r="G13" i="21" s="1"/>
  <c r="G42" i="14"/>
  <c r="G44" i="14"/>
  <c r="G47" i="14"/>
  <c r="A13" i="25"/>
  <c r="G13" i="25" s="1"/>
  <c r="A28" i="25"/>
  <c r="G28" i="25" s="1"/>
  <c r="A22" i="25"/>
  <c r="G22" i="25" s="1"/>
  <c r="A24" i="23"/>
  <c r="G24" i="23" s="1"/>
  <c r="G39" i="14"/>
  <c r="G23" i="14"/>
  <c r="G27" i="14"/>
  <c r="A15" i="25"/>
  <c r="H15" i="25" s="1"/>
  <c r="A26" i="25"/>
  <c r="G26" i="25" s="1"/>
  <c r="A25" i="25"/>
  <c r="H25" i="25" s="1"/>
  <c r="A26" i="23"/>
  <c r="G26" i="23" s="1"/>
  <c r="G35" i="14"/>
  <c r="A27" i="25"/>
  <c r="H27" i="25" s="1"/>
  <c r="G15" i="14"/>
  <c r="A29" i="25"/>
  <c r="H29" i="25" s="1"/>
  <c r="BG13" i="6"/>
  <c r="BO13" i="18"/>
  <c r="BC13" i="6"/>
  <c r="BK13" i="18"/>
  <c r="CM13" i="6"/>
  <c r="CU13" i="18"/>
  <c r="BS13" i="6"/>
  <c r="CA13" i="18"/>
  <c r="AA13" i="6"/>
  <c r="AI13" i="18"/>
  <c r="CA13" i="6"/>
  <c r="CI13" i="18"/>
  <c r="AM13" i="6"/>
  <c r="AU13" i="18"/>
  <c r="BW13" i="6"/>
  <c r="CE13" i="18"/>
  <c r="AE13" i="6"/>
  <c r="AM13" i="18"/>
  <c r="CI13" i="6"/>
  <c r="CQ13" i="18"/>
  <c r="BK13" i="6"/>
  <c r="BS13" i="18"/>
  <c r="AY13" i="18"/>
  <c r="W13" i="6"/>
  <c r="AE13" i="18"/>
  <c r="AU13" i="6"/>
  <c r="AQ13" i="6"/>
  <c r="F69" i="15"/>
  <c r="AJ13" i="18"/>
  <c r="CR13" i="18"/>
  <c r="BT13" i="18"/>
  <c r="AF13" i="18"/>
  <c r="BL13" i="18"/>
  <c r="AN13" i="18"/>
  <c r="H22" i="27" l="1"/>
  <c r="G25" i="27"/>
  <c r="H25" i="27"/>
  <c r="H21" i="27"/>
  <c r="G28" i="27"/>
  <c r="H28" i="27"/>
  <c r="H16" i="27"/>
  <c r="H14" i="27"/>
  <c r="H15" i="27"/>
  <c r="H22" i="25"/>
  <c r="H28" i="25"/>
  <c r="G25" i="25"/>
  <c r="G18" i="25"/>
  <c r="H18" i="25"/>
  <c r="H30" i="25"/>
  <c r="G30" i="25"/>
  <c r="H26" i="25"/>
  <c r="H21" i="25"/>
  <c r="G29" i="25"/>
  <c r="G31" i="25"/>
  <c r="H31" i="25"/>
  <c r="G33" i="25"/>
  <c r="G32" i="25"/>
  <c r="G15" i="25"/>
  <c r="H20" i="25"/>
  <c r="G20" i="25"/>
  <c r="G16" i="25"/>
  <c r="H16" i="25"/>
  <c r="G27" i="25"/>
  <c r="G23" i="25"/>
  <c r="G19" i="25"/>
  <c r="H19" i="25"/>
  <c r="G27" i="27"/>
  <c r="H14" i="25"/>
  <c r="H13" i="21"/>
  <c r="G13" i="27"/>
  <c r="G29" i="27"/>
  <c r="G26" i="27"/>
  <c r="G18" i="27"/>
  <c r="G20" i="27"/>
  <c r="H13" i="25"/>
  <c r="G23" i="27"/>
  <c r="H26" i="23"/>
  <c r="H24" i="23"/>
  <c r="BH13" i="6"/>
  <c r="BP13" i="18"/>
  <c r="CN13" i="6"/>
  <c r="CV13" i="18"/>
  <c r="AR13" i="6"/>
  <c r="AZ13" i="18"/>
  <c r="AV13" i="6"/>
  <c r="BD13" i="18"/>
  <c r="BX13" i="6"/>
  <c r="CF13" i="18"/>
  <c r="AN13" i="6"/>
  <c r="AV13" i="18"/>
  <c r="BT13" i="6"/>
  <c r="CB13" i="18"/>
  <c r="CR13" i="6"/>
  <c r="CZ13" i="18"/>
  <c r="CB13" i="6"/>
  <c r="CJ13" i="18"/>
  <c r="CJ13" i="6"/>
  <c r="X13" i="6"/>
  <c r="BL13" i="6"/>
  <c r="AB13" i="6"/>
  <c r="BD13" i="6"/>
  <c r="AF13" i="6"/>
  <c r="DA13" i="18" l="1"/>
  <c r="A25" i="14"/>
  <c r="A21" i="14"/>
  <c r="F15" i="21"/>
  <c r="F22" i="23"/>
  <c r="F13" i="7"/>
  <c r="J25" i="14" l="1"/>
  <c r="I25" i="14"/>
  <c r="J21" i="14"/>
  <c r="I21" i="14"/>
  <c r="A19" i="7"/>
  <c r="A17" i="23"/>
  <c r="A28" i="23"/>
  <c r="A17" i="21"/>
  <c r="H17" i="21" s="1"/>
  <c r="A13" i="23"/>
  <c r="A18" i="21"/>
  <c r="H18" i="21" s="1"/>
  <c r="A21" i="23"/>
  <c r="A19" i="21"/>
  <c r="H19" i="21" s="1"/>
  <c r="A19" i="23"/>
  <c r="A16" i="21"/>
  <c r="H16" i="21" s="1"/>
  <c r="A23" i="23"/>
  <c r="A25" i="23"/>
  <c r="A14" i="23"/>
  <c r="H14" i="23" s="1"/>
  <c r="A15" i="23"/>
  <c r="A16" i="23"/>
  <c r="A15" i="21"/>
  <c r="G15" i="21" s="1"/>
  <c r="A22" i="23"/>
  <c r="H22" i="23" s="1"/>
  <c r="A18" i="23"/>
  <c r="A20" i="21"/>
  <c r="H20" i="21" s="1"/>
  <c r="A20" i="23"/>
  <c r="A14" i="21"/>
  <c r="A27" i="23"/>
  <c r="A15" i="19"/>
  <c r="A25" i="7"/>
  <c r="G25" i="7" s="1"/>
  <c r="A19" i="19"/>
  <c r="H19" i="19" s="1"/>
  <c r="A22" i="7"/>
  <c r="G22" i="7" s="1"/>
  <c r="A18" i="19"/>
  <c r="H18" i="19" s="1"/>
  <c r="A20" i="7"/>
  <c r="H20" i="7" s="1"/>
  <c r="A16" i="19"/>
  <c r="H16" i="19" s="1"/>
  <c r="A24" i="7"/>
  <c r="G24" i="7" s="1"/>
  <c r="A27" i="7"/>
  <c r="H27" i="7" s="1"/>
  <c r="A13" i="7"/>
  <c r="H13" i="7" s="1"/>
  <c r="A23" i="7"/>
  <c r="G23" i="7" s="1"/>
  <c r="A17" i="7"/>
  <c r="H17" i="7" s="1"/>
  <c r="A13" i="19"/>
  <c r="H13" i="19" s="1"/>
  <c r="A18" i="7"/>
  <c r="H18" i="7" s="1"/>
  <c r="A16" i="7"/>
  <c r="H16" i="7" s="1"/>
  <c r="A14" i="19"/>
  <c r="H14" i="19" s="1"/>
  <c r="A21" i="7"/>
  <c r="G21" i="7" s="1"/>
  <c r="A26" i="7"/>
  <c r="G26" i="7" s="1"/>
  <c r="A20" i="19"/>
  <c r="H20" i="19" s="1"/>
  <c r="A15" i="7"/>
  <c r="G15" i="7" s="1"/>
  <c r="A14" i="7"/>
  <c r="G14" i="7" s="1"/>
  <c r="A29" i="14"/>
  <c r="A24" i="14"/>
  <c r="A33" i="14"/>
  <c r="A23" i="14"/>
  <c r="A37" i="14"/>
  <c r="A49" i="14"/>
  <c r="A18" i="14"/>
  <c r="A32" i="14"/>
  <c r="A31" i="14"/>
  <c r="A19" i="14"/>
  <c r="A40" i="14"/>
  <c r="A20" i="14"/>
  <c r="A13" i="14"/>
  <c r="J13" i="14" s="1"/>
  <c r="A34" i="14"/>
  <c r="A28" i="14"/>
  <c r="A15" i="14"/>
  <c r="A30" i="14"/>
  <c r="A36" i="14"/>
  <c r="A22" i="14"/>
  <c r="A48" i="14"/>
  <c r="J48" i="14" s="1"/>
  <c r="A35" i="14"/>
  <c r="A38" i="14"/>
  <c r="A43" i="14"/>
  <c r="A14" i="14"/>
  <c r="A46" i="14"/>
  <c r="A45" i="14"/>
  <c r="A47" i="14"/>
  <c r="J47" i="14" s="1"/>
  <c r="A41" i="14"/>
  <c r="A39" i="14"/>
  <c r="A44" i="14"/>
  <c r="A16" i="14"/>
  <c r="A17" i="14"/>
  <c r="A27" i="14"/>
  <c r="A42" i="14"/>
  <c r="A26" i="14"/>
  <c r="G15" i="19" l="1"/>
  <c r="H15" i="19"/>
  <c r="H14" i="21"/>
  <c r="G14" i="21"/>
  <c r="J46" i="14"/>
  <c r="I46" i="14"/>
  <c r="I14" i="14"/>
  <c r="J14" i="14"/>
  <c r="J32" i="14"/>
  <c r="I32" i="14"/>
  <c r="I43" i="14"/>
  <c r="J43" i="14"/>
  <c r="J28" i="14"/>
  <c r="I28" i="14"/>
  <c r="I18" i="14"/>
  <c r="J18" i="14"/>
  <c r="I45" i="14"/>
  <c r="J45" i="14"/>
  <c r="J29" i="14"/>
  <c r="I29" i="14"/>
  <c r="I16" i="14"/>
  <c r="J16" i="14"/>
  <c r="J44" i="14"/>
  <c r="I44" i="14"/>
  <c r="I38" i="14"/>
  <c r="J38" i="14"/>
  <c r="I34" i="14"/>
  <c r="J34" i="14"/>
  <c r="J49" i="14"/>
  <c r="I49" i="14"/>
  <c r="I30" i="14"/>
  <c r="J30" i="14"/>
  <c r="J39" i="14"/>
  <c r="I39" i="14"/>
  <c r="I27" i="14"/>
  <c r="J27" i="14"/>
  <c r="J17" i="14"/>
  <c r="I17" i="14"/>
  <c r="I15" i="14"/>
  <c r="J15" i="14"/>
  <c r="J35" i="14"/>
  <c r="I35" i="14"/>
  <c r="J37" i="14"/>
  <c r="I37" i="14"/>
  <c r="J41" i="14"/>
  <c r="I41" i="14"/>
  <c r="I48" i="14"/>
  <c r="J20" i="14"/>
  <c r="I20" i="14"/>
  <c r="J23" i="14"/>
  <c r="I23" i="14"/>
  <c r="I42" i="14"/>
  <c r="J42" i="14"/>
  <c r="J31" i="14"/>
  <c r="I31" i="14"/>
  <c r="I26" i="14"/>
  <c r="J26" i="14"/>
  <c r="I47" i="14"/>
  <c r="I22" i="14"/>
  <c r="J22" i="14"/>
  <c r="I40" i="14"/>
  <c r="J40" i="14"/>
  <c r="J33" i="14"/>
  <c r="I33" i="14"/>
  <c r="J36" i="14"/>
  <c r="I36" i="14"/>
  <c r="I19" i="14"/>
  <c r="J19" i="14"/>
  <c r="I24" i="14"/>
  <c r="J24" i="14"/>
  <c r="G16" i="21"/>
  <c r="G19" i="21"/>
  <c r="G20" i="21"/>
  <c r="G17" i="21"/>
  <c r="G18" i="21"/>
  <c r="H15" i="21"/>
  <c r="G19" i="7"/>
  <c r="H19" i="7"/>
  <c r="G22" i="23"/>
  <c r="H16" i="23"/>
  <c r="G16" i="23"/>
  <c r="G14" i="23"/>
  <c r="G18" i="23"/>
  <c r="H18" i="23"/>
  <c r="G17" i="23"/>
  <c r="H17" i="23"/>
  <c r="G15" i="23"/>
  <c r="H15" i="23"/>
  <c r="G23" i="23"/>
  <c r="H23" i="23"/>
  <c r="H28" i="23"/>
  <c r="G28" i="23"/>
  <c r="G27" i="23"/>
  <c r="H27" i="23"/>
  <c r="G25" i="23"/>
  <c r="H25" i="23"/>
  <c r="G19" i="23"/>
  <c r="H19" i="23"/>
  <c r="H13" i="23"/>
  <c r="G13" i="23"/>
  <c r="G20" i="23"/>
  <c r="H20" i="23"/>
  <c r="H21" i="23"/>
  <c r="G21" i="23"/>
  <c r="G17" i="7"/>
  <c r="G16" i="19"/>
  <c r="G20" i="19"/>
  <c r="G14" i="19"/>
  <c r="G19" i="19"/>
  <c r="G13" i="19"/>
  <c r="G18" i="19"/>
  <c r="G16" i="7"/>
  <c r="I13" i="14"/>
  <c r="H26" i="7"/>
  <c r="H14" i="7"/>
  <c r="G20" i="7"/>
  <c r="H24" i="7"/>
  <c r="G18" i="7"/>
  <c r="H23" i="7"/>
  <c r="H21" i="7"/>
  <c r="H22" i="7"/>
  <c r="G27" i="7"/>
  <c r="H25" i="7"/>
  <c r="G13" i="7"/>
  <c r="H15" i="7"/>
</calcChain>
</file>

<file path=xl/comments1.xml><?xml version="1.0" encoding="utf-8"?>
<comments xmlns="http://schemas.openxmlformats.org/spreadsheetml/2006/main">
  <authors>
    <author>Полунина Галина Львовна</author>
  </authors>
  <commentList>
    <comment ref="A1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Полунина Галина Львовна:</t>
        </r>
        <r>
          <rPr>
            <sz val="9"/>
            <color indexed="81"/>
            <rFont val="Tahoma"/>
            <family val="2"/>
            <charset val="204"/>
          </rPr>
          <t xml:space="preserve">
вводить данные можно в любом пордке, но потом нужно отсоритовать список по классам и номерам, это нужно для определения места на СУ (мы будем использовать для выделения массива в пределах которого будем ранжировать результаты по классам)</t>
        </r>
      </text>
    </comment>
    <comment ref="A2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Полунина Галина Львовна:</t>
        </r>
        <r>
          <rPr>
            <sz val="9"/>
            <color indexed="81"/>
            <rFont val="Tahoma"/>
            <family val="2"/>
            <charset val="204"/>
          </rPr>
          <t xml:space="preserve">
Эта строка нужна для наглядности, в ней видные номера столбцов, мы будем использовать их для функции ВПР на других листах
</t>
        </r>
      </text>
    </comment>
  </commentList>
</comments>
</file>

<file path=xl/sharedStrings.xml><?xml version="1.0" encoding="utf-8"?>
<sst xmlns="http://schemas.openxmlformats.org/spreadsheetml/2006/main" count="1541" uniqueCount="361">
  <si>
    <t>Ст.№</t>
  </si>
  <si>
    <t>1 пилот
2 пилот</t>
  </si>
  <si>
    <t>Лицензия
Лицензия</t>
  </si>
  <si>
    <t>Город
Город</t>
  </si>
  <si>
    <t>Автомобиль</t>
  </si>
  <si>
    <t>Зачет</t>
  </si>
  <si>
    <t>время
СУ1</t>
  </si>
  <si>
    <t>время
СУ2</t>
  </si>
  <si>
    <t>время
СУ3</t>
  </si>
  <si>
    <t>время
СУ4</t>
  </si>
  <si>
    <t>время
СУ5</t>
  </si>
  <si>
    <t>время
СУ6</t>
  </si>
  <si>
    <t>время
СУ7</t>
  </si>
  <si>
    <t>время
СУ8</t>
  </si>
  <si>
    <t>время
СУ9</t>
  </si>
  <si>
    <t>время
СУ10</t>
  </si>
  <si>
    <t>время
СУ11</t>
  </si>
  <si>
    <t>время
СУ12</t>
  </si>
  <si>
    <t>время
СУ13</t>
  </si>
  <si>
    <t>время
СУ14</t>
  </si>
  <si>
    <t>время
СУ15</t>
  </si>
  <si>
    <t>время
СУ16</t>
  </si>
  <si>
    <t>время
СУ17</t>
  </si>
  <si>
    <t>время
СУ18</t>
  </si>
  <si>
    <t>время
СУ19</t>
  </si>
  <si>
    <t>время
СУ20</t>
  </si>
  <si>
    <t>очки
СУ1</t>
  </si>
  <si>
    <t>очки
СУ2</t>
  </si>
  <si>
    <t>очки
СУ3</t>
  </si>
  <si>
    <t>очки
СУ4</t>
  </si>
  <si>
    <t>очки
СУ5</t>
  </si>
  <si>
    <t>очки
СУ6</t>
  </si>
  <si>
    <t>очки
СУ7</t>
  </si>
  <si>
    <t>очки
СУ8</t>
  </si>
  <si>
    <t>очки
СУ9</t>
  </si>
  <si>
    <t>очки
СУ10</t>
  </si>
  <si>
    <t>очки
СУ11</t>
  </si>
  <si>
    <t>очки
СУ12</t>
  </si>
  <si>
    <t>очки
СУ13</t>
  </si>
  <si>
    <t>очки
СУ14</t>
  </si>
  <si>
    <t>очки
СУ15</t>
  </si>
  <si>
    <t>очки
СУ16</t>
  </si>
  <si>
    <t>очки
СУ17</t>
  </si>
  <si>
    <t>очки
СУ18</t>
  </si>
  <si>
    <t>очки
СУ19</t>
  </si>
  <si>
    <t>очки
СУ20</t>
  </si>
  <si>
    <t>рез-т
СУ1</t>
  </si>
  <si>
    <t>рез-т
СУ2</t>
  </si>
  <si>
    <t>рез-т
СУ3</t>
  </si>
  <si>
    <t>рез-т
СУ4</t>
  </si>
  <si>
    <t>рез-т
СУ5</t>
  </si>
  <si>
    <t>рез-т
СУ6</t>
  </si>
  <si>
    <t>рез-т
СУ7</t>
  </si>
  <si>
    <t>рез-т
СУ8</t>
  </si>
  <si>
    <t>рез-т
СУ9</t>
  </si>
  <si>
    <t>рез-т
СУ10</t>
  </si>
  <si>
    <t>рез-т
СУ11</t>
  </si>
  <si>
    <t>рез-т
СУ12</t>
  </si>
  <si>
    <t>рез-т
СУ13</t>
  </si>
  <si>
    <t>рез-т
СУ14</t>
  </si>
  <si>
    <t>рез-т
СУ15</t>
  </si>
  <si>
    <t>рез-т
СУ16</t>
  </si>
  <si>
    <t>рез-т
СУ17</t>
  </si>
  <si>
    <t>рез-т
СУ18</t>
  </si>
  <si>
    <t>рез-т
СУ19</t>
  </si>
  <si>
    <t>рез-т
СУ20</t>
  </si>
  <si>
    <t>время
СУ21</t>
  </si>
  <si>
    <t>время
СУ22</t>
  </si>
  <si>
    <t>время
СУ23</t>
  </si>
  <si>
    <t>время
СУ24</t>
  </si>
  <si>
    <t>время
СУ25</t>
  </si>
  <si>
    <t>время
СУ26</t>
  </si>
  <si>
    <t>время
СУ27</t>
  </si>
  <si>
    <t>время
СУ28</t>
  </si>
  <si>
    <t>время
СУ29</t>
  </si>
  <si>
    <t>время
СУ30</t>
  </si>
  <si>
    <t>очки
СУ21</t>
  </si>
  <si>
    <t>очки
СУ22</t>
  </si>
  <si>
    <t>очки
СУ23</t>
  </si>
  <si>
    <t>очки
СУ24</t>
  </si>
  <si>
    <t>очки
СУ25</t>
  </si>
  <si>
    <t>очки
СУ26</t>
  </si>
  <si>
    <t>очки
СУ27</t>
  </si>
  <si>
    <t>очки
СУ28</t>
  </si>
  <si>
    <t>очки
СУ29</t>
  </si>
  <si>
    <t>очки
СУ30</t>
  </si>
  <si>
    <t>рез-т
СУ21</t>
  </si>
  <si>
    <t>рез-т
СУ22</t>
  </si>
  <si>
    <t>рез-т
СУ23</t>
  </si>
  <si>
    <t>рез-т
СУ24</t>
  </si>
  <si>
    <t>рез-т
СУ25</t>
  </si>
  <si>
    <t>рез-т
СУ26</t>
  </si>
  <si>
    <t>рез-т
СУ27</t>
  </si>
  <si>
    <t>рез-т
СУ28</t>
  </si>
  <si>
    <t>рез-т
СУ29</t>
  </si>
  <si>
    <t>рез-т
СУ30</t>
  </si>
  <si>
    <t>-</t>
  </si>
  <si>
    <t>Hard</t>
  </si>
  <si>
    <t>Medium</t>
  </si>
  <si>
    <t>Light</t>
  </si>
  <si>
    <t>ATV</t>
  </si>
  <si>
    <t>SSV</t>
  </si>
  <si>
    <t>Extra Light</t>
  </si>
  <si>
    <t>Порядок
сорт-ки</t>
  </si>
  <si>
    <t>Порядок сортировки</t>
  </si>
  <si>
    <t>Российская автомобильная федерация</t>
  </si>
  <si>
    <t>ООО «Внедорожный центр 4х4»</t>
  </si>
  <si>
    <t>Команда Pro-X</t>
  </si>
  <si>
    <t>Этап кубка Урало-Сибирской зоны по трофи-рейдам</t>
  </si>
  <si>
    <t xml:space="preserve">Команда  Red Off-road Expedition </t>
  </si>
  <si>
    <t>Результаты СУ в зачете «Hard»</t>
  </si>
  <si>
    <t>Ст.
№</t>
  </si>
  <si>
    <t>Время</t>
  </si>
  <si>
    <t>Очки</t>
  </si>
  <si>
    <t>Рез-т</t>
  </si>
  <si>
    <t>Место</t>
  </si>
  <si>
    <t>DNF</t>
  </si>
  <si>
    <t>DNS</t>
  </si>
  <si>
    <t>Старт без финиша</t>
  </si>
  <si>
    <t>Отказ от старта</t>
  </si>
  <si>
    <t>Очки за занятые места</t>
  </si>
  <si>
    <t>пена
СУ1</t>
  </si>
  <si>
    <t>пена
СУ2</t>
  </si>
  <si>
    <t>пена
СУ3</t>
  </si>
  <si>
    <t>пена
СУ4</t>
  </si>
  <si>
    <t>пена
СУ5</t>
  </si>
  <si>
    <t>пена
СУ6</t>
  </si>
  <si>
    <t>пена
СУ7</t>
  </si>
  <si>
    <t>пена
СУ8</t>
  </si>
  <si>
    <t>пена
СУ9</t>
  </si>
  <si>
    <t>пена
СУ10</t>
  </si>
  <si>
    <t>пена
СУ11</t>
  </si>
  <si>
    <t>пена
СУ12</t>
  </si>
  <si>
    <t>пена
СУ13</t>
  </si>
  <si>
    <t>пена
СУ14</t>
  </si>
  <si>
    <t>пена
СУ15</t>
  </si>
  <si>
    <t>пена
СУ16</t>
  </si>
  <si>
    <t>пена
СУ17</t>
  </si>
  <si>
    <t>пена
СУ18</t>
  </si>
  <si>
    <t>пена
СУ19</t>
  </si>
  <si>
    <t>пена
СУ20</t>
  </si>
  <si>
    <t>пена
СУ21</t>
  </si>
  <si>
    <t>пена
СУ22</t>
  </si>
  <si>
    <t>пена
СУ23</t>
  </si>
  <si>
    <t>пена
СУ24</t>
  </si>
  <si>
    <t>пена
СУ25</t>
  </si>
  <si>
    <t>пена
СУ26</t>
  </si>
  <si>
    <t>пена
СУ27</t>
  </si>
  <si>
    <t>пена
СУ28</t>
  </si>
  <si>
    <t>пена
СУ29</t>
  </si>
  <si>
    <t>пена
СУ30</t>
  </si>
  <si>
    <t>СХОД</t>
  </si>
  <si>
    <t>Пена-
лиз.</t>
  </si>
  <si>
    <t>Итоговая классификация в зачете «Hard»</t>
  </si>
  <si>
    <t>№ п/п</t>
  </si>
  <si>
    <t>Итоговый
результат</t>
  </si>
  <si>
    <t xml:space="preserve">Отставание </t>
  </si>
  <si>
    <t>Руководитель гонки</t>
  </si>
  <si>
    <t>Евгений Шаталов</t>
  </si>
  <si>
    <t>г.Челябинск</t>
  </si>
  <si>
    <t>от
предыдущ.</t>
  </si>
  <si>
    <t>от
лидера</t>
  </si>
  <si>
    <t>Итоговая классификация в зачете «Medium»</t>
  </si>
  <si>
    <t>Итоговая классификация в зачете «ATV»</t>
  </si>
  <si>
    <t>Результаты СУ в зачете «ATV»</t>
  </si>
  <si>
    <t>Итоговая классификация в зачете «Light»</t>
  </si>
  <si>
    <t>Результаты СУ в зачете «Light»</t>
  </si>
  <si>
    <t>Результаты СУ в зачете «Medium»</t>
  </si>
  <si>
    <t>СУ-16</t>
  </si>
  <si>
    <t>СУ-17</t>
  </si>
  <si>
    <t>СУ-18</t>
  </si>
  <si>
    <t>СУ-1</t>
  </si>
  <si>
    <t>СУ-2</t>
  </si>
  <si>
    <t>СУ-3</t>
  </si>
  <si>
    <t>СУ-4</t>
  </si>
  <si>
    <t>СУ-5</t>
  </si>
  <si>
    <t>СУ-6</t>
  </si>
  <si>
    <t>СУ-7</t>
  </si>
  <si>
    <t>СУ-8</t>
  </si>
  <si>
    <t>СУ-9</t>
  </si>
  <si>
    <t>СУ-10</t>
  </si>
  <si>
    <t>СУ-11</t>
  </si>
  <si>
    <t>СУ-12</t>
  </si>
  <si>
    <t>СУ-13</t>
  </si>
  <si>
    <t>СУ-14</t>
  </si>
  <si>
    <t>СУ-15</t>
  </si>
  <si>
    <t>СУ-19</t>
  </si>
  <si>
    <t>СУ-20</t>
  </si>
  <si>
    <t>СУ-21</t>
  </si>
  <si>
    <t>СУ-22</t>
  </si>
  <si>
    <t>СУ-23</t>
  </si>
  <si>
    <t>СУ-24</t>
  </si>
  <si>
    <t>СУ-25</t>
  </si>
  <si>
    <t>СУ-26</t>
  </si>
  <si>
    <t>СУ-27</t>
  </si>
  <si>
    <t>СУ-28</t>
  </si>
  <si>
    <t>СУ-29</t>
  </si>
  <si>
    <t>СУ-30</t>
  </si>
  <si>
    <t>Итоговая классификация в зачете «SSV»</t>
  </si>
  <si>
    <t>Результаты СУ в зачете «SSV»</t>
  </si>
  <si>
    <t>Результаты СУ в зачете «Extra Light»</t>
  </si>
  <si>
    <t>Итоговая классификация в зачете «Extra Light»</t>
  </si>
  <si>
    <t>ФАС Челябинской области</t>
  </si>
  <si>
    <t>Общая итоговая классификация</t>
  </si>
  <si>
    <t>Позиция
в зачете</t>
  </si>
  <si>
    <t>СУММА</t>
  </si>
  <si>
    <t>МЕСТО
в зачете</t>
  </si>
  <si>
    <t>МЕСТО
в абсол</t>
  </si>
  <si>
    <t>Список допущенных экипажей</t>
  </si>
  <si>
    <t>Лицензии пилотов</t>
  </si>
  <si>
    <t>ВСЕГО</t>
  </si>
  <si>
    <t>ОФИЦИАЛЬНО</t>
  </si>
  <si>
    <t>ПРЕДВАРИТЕЛЬНО</t>
  </si>
  <si>
    <t>НАГРАДНАЯ ВЕДОМОСТЬ</t>
  </si>
  <si>
    <t>Зачет Hard</t>
  </si>
  <si>
    <t>Зачет Extra Light</t>
  </si>
  <si>
    <t>Зачет SSV</t>
  </si>
  <si>
    <t>Зачет Light</t>
  </si>
  <si>
    <t>Зачет Medium</t>
  </si>
  <si>
    <t>Абсолютный зачет</t>
  </si>
  <si>
    <t>Время к/гонки</t>
  </si>
  <si>
    <t>Очки КГ</t>
  </si>
  <si>
    <t>рез-т КГ</t>
  </si>
  <si>
    <t>СУ</t>
  </si>
  <si>
    <t>Кольцевая гонка</t>
  </si>
  <si>
    <t>Галузин Вячеслав Владимирович
Плесовских Сергей Владимирович</t>
  </si>
  <si>
    <t>Златоуст
Златоуст</t>
  </si>
  <si>
    <t>186713
186722</t>
  </si>
  <si>
    <t>Прото</t>
  </si>
  <si>
    <t>Малиновский Артем Александрович
Малиновский Антон Александрович</t>
  </si>
  <si>
    <t>183370
183364</t>
  </si>
  <si>
    <t>Иванов Артем Альбертович
Иванов Роман Альбертович</t>
  </si>
  <si>
    <t>Минеев Юрий Александрович
Макаренко Сергей Викторович</t>
  </si>
  <si>
    <t>Мошкин Петр Александрович
Солод Дмитрий Анатольевич</t>
  </si>
  <si>
    <t>Сатка
Коркино</t>
  </si>
  <si>
    <t>186707</t>
  </si>
  <si>
    <t>Демидов Максим Владимирович
Назаров Сергей Александрович</t>
  </si>
  <si>
    <t>186712</t>
  </si>
  <si>
    <t>Насыров Артур Уралович
Котов Вячеслав Сергеевич</t>
  </si>
  <si>
    <t>ххх
183677</t>
  </si>
  <si>
    <t>Сатка
Тюмень</t>
  </si>
  <si>
    <t>КМВ
КМВ</t>
  </si>
  <si>
    <t>Айбазов Анзор Магометович
Хубиев Расул Леонович</t>
  </si>
  <si>
    <t>Клейн Александр Алексеевич
Манион Сергей Игоревич</t>
  </si>
  <si>
    <t>D 170740</t>
  </si>
  <si>
    <t>Бикбулатов Илья Аликович
Стахеев Андрей Владимирович</t>
  </si>
  <si>
    <t>183629
183930</t>
  </si>
  <si>
    <t>УАЗ 31512</t>
  </si>
  <si>
    <t>Павелин Евгений Модестович
Давыдов Сергей Владимирович</t>
  </si>
  <si>
    <t>есть
есть</t>
  </si>
  <si>
    <t>Пелевин Евгений Сергеевич
Прочуханов Игорь Игоревич</t>
  </si>
  <si>
    <t>186710
186711</t>
  </si>
  <si>
    <t>Полевской
Ревда</t>
  </si>
  <si>
    <t>Тетерин Роман Геннадьевич
Захаров Александр Васильевич</t>
  </si>
  <si>
    <t>171307</t>
  </si>
  <si>
    <t>УАЗ 469</t>
  </si>
  <si>
    <t>Нива 21213</t>
  </si>
  <si>
    <t>TLC 70</t>
  </si>
  <si>
    <t>Бачурин Антон Александрович
Лашков Антон Борисович</t>
  </si>
  <si>
    <t>ГАЗ-69</t>
  </si>
  <si>
    <t>Фахритдинов Альберт Фикратович 
Головко Кирилл Юрьевич</t>
  </si>
  <si>
    <t>183663</t>
  </si>
  <si>
    <t>Jeep Grand Cherokee</t>
  </si>
  <si>
    <t>Челябинск
Челябинск</t>
  </si>
  <si>
    <t>Н. Тагил
Н. Тагил</t>
  </si>
  <si>
    <t>Кушва
Кушва</t>
  </si>
  <si>
    <t>Екатеринбург
Екатеринбург</t>
  </si>
  <si>
    <t>Камышлов
Камышлов</t>
  </si>
  <si>
    <t>Катайск
Катайск</t>
  </si>
  <si>
    <t>Первоуральск
Первоуральск</t>
  </si>
  <si>
    <t>Бобров Алексей Сергеевич
Соколов Андрей Андреевич</t>
  </si>
  <si>
    <t>УАЗ 315195</t>
  </si>
  <si>
    <t>Гончар Алексей Евгеньевич
Захаров Артем Олегович</t>
  </si>
  <si>
    <t>86679</t>
  </si>
  <si>
    <t>Копейск
Копейск</t>
  </si>
  <si>
    <t>Mitsubishi Pajero</t>
  </si>
  <si>
    <t>Яснов Александр Павлович
Клюсов Евгений Петрович</t>
  </si>
  <si>
    <t>181380</t>
  </si>
  <si>
    <t>Тюмень
Тюмень</t>
  </si>
  <si>
    <t>Suzuki Jimny</t>
  </si>
  <si>
    <t>Извеков Вадим Васильевич
Просеков Алексей Федорович</t>
  </si>
  <si>
    <t>УАЗ 31514</t>
  </si>
  <si>
    <t>Коркодинов Андрей Игоревич
Ибрагимов Рамиль Зуфарович</t>
  </si>
  <si>
    <t>Нива 2121</t>
  </si>
  <si>
    <t>Маньков Игорь Анатольевич
Охотников Максим Дмитриевич</t>
  </si>
  <si>
    <t>Екатеринбург
Снежинск</t>
  </si>
  <si>
    <t>Мякишев Егор Алексеевич
Харламов Евгений Сергеевич</t>
  </si>
  <si>
    <t>186683
183635</t>
  </si>
  <si>
    <t>Невьянск
Екатеринбург</t>
  </si>
  <si>
    <t>Нигматуллин Ильшат Ришатович
Чуманов Сергей Владимирович</t>
  </si>
  <si>
    <t>185356</t>
  </si>
  <si>
    <t>Уфа
Уфа</t>
  </si>
  <si>
    <t>ВАЗ 21214</t>
  </si>
  <si>
    <t>Павлов Алексей Сергеевич
Чернов Анатолий Михайлович</t>
  </si>
  <si>
    <t>Пантелеев Сергей Павлович
Ефремов Кирилл Андреевич</t>
  </si>
  <si>
    <t>Юргамыш
Юргамыш</t>
  </si>
  <si>
    <t>Реж
Реж</t>
  </si>
  <si>
    <t>Плотников Андрей Юрьевич
Прокопович Арсений Витальевич</t>
  </si>
  <si>
    <t>185396
184510</t>
  </si>
  <si>
    <t>Цветков Никита Александрович
Крякунов Антон Александрович</t>
  </si>
  <si>
    <t>Нива 2123</t>
  </si>
  <si>
    <t>Иванов Артем Викторович
Пшикун Михаил Андреевич</t>
  </si>
  <si>
    <t>Ачимов Павел Викторович
Алчебаев Николай Юрьевич</t>
  </si>
  <si>
    <t>Jeep Cherokee Wagoner</t>
  </si>
  <si>
    <t>Чуешов Дмитрий Александрович
Глебов Дмитрий Владимирович</t>
  </si>
  <si>
    <t>УАЗ-469</t>
  </si>
  <si>
    <t>Сумин Андрей Станиславович
Петров Сергей Александрович</t>
  </si>
  <si>
    <t>ВАЗ 2121</t>
  </si>
  <si>
    <t>Костромин Сергей Михайлович
Кольцов Виктор Александрович</t>
  </si>
  <si>
    <t>УАЗ-31512</t>
  </si>
  <si>
    <t>В. Пышма
В. Пышма</t>
  </si>
  <si>
    <t>Осокин Михаил Сергеевич
Осокин Александр Сергеевич</t>
  </si>
  <si>
    <t>УАЗ Пикап</t>
  </si>
  <si>
    <t>п. Восточный
п. Восточный</t>
  </si>
  <si>
    <t>Тимофеев Александр Николаевич
Белкин Александр Сергеевич</t>
  </si>
  <si>
    <t>Пермь
Пермь</t>
  </si>
  <si>
    <t>Нива</t>
  </si>
  <si>
    <t>Сунаргулов Руслан Раянович
Алеев Андрей Мухаметшаевич</t>
  </si>
  <si>
    <t>Nissan Patrol</t>
  </si>
  <si>
    <t>Арсентьев Вадим Петрович
Гурьянов Виктор Григорьевич</t>
  </si>
  <si>
    <t>171253</t>
  </si>
  <si>
    <t>TLC 79</t>
  </si>
  <si>
    <t>Базылев Максим Сергеевич
Эйкевич Владимир Олегович</t>
  </si>
  <si>
    <t>УАЗ Патриот</t>
  </si>
  <si>
    <t>Бекметов Рустам Олегович
Песняев Евгений Анатольевич</t>
  </si>
  <si>
    <t>182909</t>
  </si>
  <si>
    <t>Магнитогорск
Магнитогорск</t>
  </si>
  <si>
    <t>Suzuki Samurai</t>
  </si>
  <si>
    <t>Бураков Евгений Станиславович
Бураков Павел Евгеньевич</t>
  </si>
  <si>
    <t>Добрыдин Андрей Николаевич
Голубенкова Анна Сергеевна</t>
  </si>
  <si>
    <t>Mitsubishi Pajero Mini</t>
  </si>
  <si>
    <t>Унжакова Юлия Александровна
Перьев Максим Вячеславович</t>
  </si>
  <si>
    <t>Снежинск
Снежинск</t>
  </si>
  <si>
    <t>Шаталов Сергей Евгеньевич
Утев Денис Михайлович</t>
  </si>
  <si>
    <t>Renault Kaleos</t>
  </si>
  <si>
    <t>Павлов Евгений Валерьевич
Шабашов Константин Владимирович</t>
  </si>
  <si>
    <t>Курманов Сергей Валерьевич
Жуламанов Вадим Валеевич</t>
  </si>
  <si>
    <t>Тверь
Челябинск</t>
  </si>
  <si>
    <t>171301</t>
  </si>
  <si>
    <t>Троицк
Троицк</t>
  </si>
  <si>
    <t>ВАЗ 21214М</t>
  </si>
  <si>
    <t>Горобец Владимир Валерьевич
Горобец Жанна Валентиновна</t>
  </si>
  <si>
    <t>ГрейтВолл Ховер3</t>
  </si>
  <si>
    <t>Юков Роман Александрович
Шнейдер Артем Александрович</t>
  </si>
  <si>
    <t>Куртамыш
Куртамыш</t>
  </si>
  <si>
    <t>Фаттахов Владик Мансурович
Абдулин Сергей Аликович</t>
  </si>
  <si>
    <t>Таверов Федор Петрович
Сагдеев Андрей Рамильевич</t>
  </si>
  <si>
    <t>Ефимов Юрий Владимирович
Мокринский Олег Владиславович</t>
  </si>
  <si>
    <t>ВАЗ 2123</t>
  </si>
  <si>
    <t>Бикмухаметов Альберт Гадульфатович
Кожевников Петр Владимирович</t>
  </si>
  <si>
    <t>Нива Шевроле</t>
  </si>
  <si>
    <t>Моисеев Сергей Александрович
Никитин Сергей Владимирович</t>
  </si>
  <si>
    <t>Корбков Алексей Сергеевич
Корбков Алексей Сергеевич</t>
  </si>
  <si>
    <t>Голубев Валерий Викторович
Зее Ян Игоревич</t>
  </si>
  <si>
    <t>Слободин Анатолий Олегович
Коровяковский Андрей Алексеевич</t>
  </si>
  <si>
    <t>Сатка
Сатка</t>
  </si>
  <si>
    <t>Пуртов Александр Сергеевич
Соловьев Александр Вячеславович</t>
  </si>
  <si>
    <t>Главный судья</t>
  </si>
  <si>
    <t>Дмитрий Гавриш</t>
  </si>
  <si>
    <t>Результат итого:</t>
  </si>
  <si>
    <t>Результат 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</si>
</sst>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m:ss.0;;"/>
    <numFmt numFmtId="165" formatCode="[$-F800]dddd\,\ mmmm\ dd\,\ yyyy"/>
    <numFmt numFmtId="166" formatCode="h:mm;@"/>
  </numFmts>
  <fonts count="12" x14ac:knownFonts="1"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8"/>
      <color indexed="8"/>
      <name val="Arial"/>
      <family val="2"/>
    </font>
    <font>
      <sz val="10"/>
      <color theme="1"/>
      <name val="Calibri"/>
      <family val="2"/>
      <charset val="204"/>
      <scheme val="minor"/>
    </font>
    <font>
      <sz val="10"/>
      <color indexed="8"/>
      <name val="Arial"/>
      <family val="2"/>
    </font>
    <font>
      <b/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9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0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0" borderId="1" xfId="0" applyBorder="1"/>
    <xf numFmtId="164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right" vertical="center" wrapText="1"/>
    </xf>
    <xf numFmtId="0" fontId="4" fillId="0" borderId="0" xfId="0" applyFont="1"/>
    <xf numFmtId="0" fontId="0" fillId="0" borderId="0" xfId="0"/>
    <xf numFmtId="0" fontId="0" fillId="0" borderId="0" xfId="0" applyAlignment="1">
      <alignment horizontal="right"/>
    </xf>
    <xf numFmtId="0" fontId="0" fillId="0" borderId="0" xfId="0"/>
    <xf numFmtId="47" fontId="0" fillId="0" borderId="1" xfId="0" applyNumberFormat="1" applyBorder="1" applyAlignment="1">
      <alignment vertical="center"/>
    </xf>
    <xf numFmtId="0" fontId="0" fillId="0" borderId="0" xfId="0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164" fontId="0" fillId="0" borderId="0" xfId="0" applyNumberFormat="1" applyFont="1" applyBorder="1" applyAlignment="1">
      <alignment horizontal="center" vertical="center" wrapText="1"/>
    </xf>
    <xf numFmtId="0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164" fontId="0" fillId="0" borderId="0" xfId="0" applyNumberFormat="1" applyFont="1" applyBorder="1" applyAlignment="1">
      <alignment horizontal="center" vertical="center"/>
    </xf>
    <xf numFmtId="0" fontId="0" fillId="0" borderId="0" xfId="0" applyNumberFormat="1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165" fontId="0" fillId="0" borderId="0" xfId="0" applyNumberFormat="1" applyAlignment="1">
      <alignment horizontal="left"/>
    </xf>
    <xf numFmtId="0" fontId="9" fillId="0" borderId="6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0" fillId="0" borderId="0" xfId="0"/>
    <xf numFmtId="20" fontId="0" fillId="0" borderId="0" xfId="0" applyNumberFormat="1"/>
    <xf numFmtId="166" fontId="0" fillId="0" borderId="0" xfId="0" applyNumberFormat="1"/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0" fillId="0" borderId="0" xfId="0"/>
    <xf numFmtId="0" fontId="0" fillId="0" borderId="0" xfId="0" applyAlignment="1">
      <alignment horizontal="right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0" fillId="0" borderId="0" xfId="0"/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 wrapText="1"/>
    </xf>
    <xf numFmtId="0" fontId="0" fillId="0" borderId="0" xfId="0" applyNumberFormat="1" applyBorder="1" applyAlignment="1">
      <alignment horizontal="center" vertical="center" wrapText="1"/>
    </xf>
    <xf numFmtId="164" fontId="0" fillId="0" borderId="0" xfId="0" applyNumberForma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4" fillId="0" borderId="0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vertical="center" wrapText="1"/>
    </xf>
    <xf numFmtId="1" fontId="0" fillId="0" borderId="1" xfId="0" applyNumberForma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0" fillId="0" borderId="0" xfId="0"/>
    <xf numFmtId="0" fontId="0" fillId="0" borderId="0" xfId="0" applyAlignment="1">
      <alignment horizontal="right"/>
    </xf>
    <xf numFmtId="165" fontId="0" fillId="0" borderId="0" xfId="0" applyNumberFormat="1" applyAlignment="1">
      <alignment horizontal="right"/>
    </xf>
    <xf numFmtId="0" fontId="4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9" fillId="0" borderId="0" xfId="0" applyFont="1" applyBorder="1" applyAlignment="1">
      <alignment horizontal="left" vertical="center"/>
    </xf>
    <xf numFmtId="0" fontId="0" fillId="0" borderId="0" xfId="0"/>
    <xf numFmtId="165" fontId="0" fillId="0" borderId="0" xfId="0" applyNumberFormat="1" applyAlignment="1">
      <alignment horizontal="left"/>
    </xf>
  </cellXfs>
  <cellStyles count="1">
    <cellStyle name="Normal" xfId="0" builtinId="0"/>
  </cellStyles>
  <dxfs count="36">
    <dxf>
      <fill>
        <patternFill>
          <bgColor rgb="FFFFFF99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CCFF99"/>
        </patternFill>
      </fill>
    </dxf>
    <dxf>
      <fill>
        <patternFill>
          <bgColor rgb="FFFFFF99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CCFF99"/>
        </patternFill>
      </fill>
    </dxf>
    <dxf>
      <fill>
        <patternFill>
          <bgColor rgb="FFFFFF99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CCFF99"/>
        </patternFill>
      </fill>
    </dxf>
    <dxf>
      <fill>
        <patternFill>
          <bgColor rgb="FFFFFF99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CCECFF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CCFF99"/>
        </patternFill>
      </fill>
    </dxf>
  </dxfs>
  <tableStyles count="0" defaultTableStyle="TableStyleMedium2" defaultPivotStyle="PivotStyleLight16"/>
  <colors>
    <mruColors>
      <color rgb="FFCCFF99"/>
      <color rgb="FFFFCCFF"/>
      <color rgb="FFCCFFCC"/>
      <color rgb="FFCCFFFF"/>
      <color rgb="FFCCE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1</xdr:col>
      <xdr:colOff>2351290</xdr:colOff>
      <xdr:row>6</xdr:row>
      <xdr:rowOff>114299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5725"/>
          <a:ext cx="2875165" cy="11715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</xdr:colOff>
      <xdr:row>0</xdr:row>
      <xdr:rowOff>38100</xdr:rowOff>
    </xdr:from>
    <xdr:to>
      <xdr:col>19</xdr:col>
      <xdr:colOff>12634</xdr:colOff>
      <xdr:row>7</xdr:row>
      <xdr:rowOff>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64</xdr:col>
      <xdr:colOff>38100</xdr:colOff>
      <xdr:row>0</xdr:row>
      <xdr:rowOff>47625</xdr:rowOff>
    </xdr:from>
    <xdr:to>
      <xdr:col>67</xdr:col>
      <xdr:colOff>12634</xdr:colOff>
      <xdr:row>7</xdr:row>
      <xdr:rowOff>19050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64</xdr:col>
      <xdr:colOff>38100</xdr:colOff>
      <xdr:row>0</xdr:row>
      <xdr:rowOff>38100</xdr:rowOff>
    </xdr:from>
    <xdr:to>
      <xdr:col>67</xdr:col>
      <xdr:colOff>12634</xdr:colOff>
      <xdr:row>7</xdr:row>
      <xdr:rowOff>9525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80</xdr:col>
      <xdr:colOff>38100</xdr:colOff>
      <xdr:row>0</xdr:row>
      <xdr:rowOff>47625</xdr:rowOff>
    </xdr:from>
    <xdr:to>
      <xdr:col>83</xdr:col>
      <xdr:colOff>3109</xdr:colOff>
      <xdr:row>7</xdr:row>
      <xdr:rowOff>19050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770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80</xdr:col>
      <xdr:colOff>38100</xdr:colOff>
      <xdr:row>0</xdr:row>
      <xdr:rowOff>38100</xdr:rowOff>
    </xdr:from>
    <xdr:to>
      <xdr:col>83</xdr:col>
      <xdr:colOff>3109</xdr:colOff>
      <xdr:row>7</xdr:row>
      <xdr:rowOff>9525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770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48</xdr:col>
      <xdr:colOff>38100</xdr:colOff>
      <xdr:row>0</xdr:row>
      <xdr:rowOff>47625</xdr:rowOff>
    </xdr:from>
    <xdr:to>
      <xdr:col>51</xdr:col>
      <xdr:colOff>12634</xdr:colOff>
      <xdr:row>7</xdr:row>
      <xdr:rowOff>19050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5110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48</xdr:col>
      <xdr:colOff>38100</xdr:colOff>
      <xdr:row>0</xdr:row>
      <xdr:rowOff>38100</xdr:rowOff>
    </xdr:from>
    <xdr:to>
      <xdr:col>51</xdr:col>
      <xdr:colOff>12634</xdr:colOff>
      <xdr:row>7</xdr:row>
      <xdr:rowOff>9525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5110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32</xdr:col>
      <xdr:colOff>38100</xdr:colOff>
      <xdr:row>0</xdr:row>
      <xdr:rowOff>47625</xdr:rowOff>
    </xdr:from>
    <xdr:to>
      <xdr:col>34</xdr:col>
      <xdr:colOff>1279459</xdr:colOff>
      <xdr:row>7</xdr:row>
      <xdr:rowOff>19050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5175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32</xdr:col>
      <xdr:colOff>38100</xdr:colOff>
      <xdr:row>0</xdr:row>
      <xdr:rowOff>38100</xdr:rowOff>
    </xdr:from>
    <xdr:to>
      <xdr:col>34</xdr:col>
      <xdr:colOff>1279459</xdr:colOff>
      <xdr:row>7</xdr:row>
      <xdr:rowOff>9525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5175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32</xdr:col>
      <xdr:colOff>38100</xdr:colOff>
      <xdr:row>0</xdr:row>
      <xdr:rowOff>38100</xdr:rowOff>
    </xdr:from>
    <xdr:to>
      <xdr:col>34</xdr:col>
      <xdr:colOff>1279459</xdr:colOff>
      <xdr:row>7</xdr:row>
      <xdr:rowOff>9525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5175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80</xdr:col>
      <xdr:colOff>38100</xdr:colOff>
      <xdr:row>0</xdr:row>
      <xdr:rowOff>47625</xdr:rowOff>
    </xdr:from>
    <xdr:to>
      <xdr:col>83</xdr:col>
      <xdr:colOff>3109</xdr:colOff>
      <xdr:row>7</xdr:row>
      <xdr:rowOff>19050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770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80</xdr:col>
      <xdr:colOff>38100</xdr:colOff>
      <xdr:row>0</xdr:row>
      <xdr:rowOff>38100</xdr:rowOff>
    </xdr:from>
    <xdr:to>
      <xdr:col>83</xdr:col>
      <xdr:colOff>3109</xdr:colOff>
      <xdr:row>7</xdr:row>
      <xdr:rowOff>9525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770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80</xdr:col>
      <xdr:colOff>38100</xdr:colOff>
      <xdr:row>0</xdr:row>
      <xdr:rowOff>47625</xdr:rowOff>
    </xdr:from>
    <xdr:to>
      <xdr:col>83</xdr:col>
      <xdr:colOff>3109</xdr:colOff>
      <xdr:row>7</xdr:row>
      <xdr:rowOff>19050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770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80</xdr:col>
      <xdr:colOff>38100</xdr:colOff>
      <xdr:row>0</xdr:row>
      <xdr:rowOff>38100</xdr:rowOff>
    </xdr:from>
    <xdr:to>
      <xdr:col>83</xdr:col>
      <xdr:colOff>3109</xdr:colOff>
      <xdr:row>7</xdr:row>
      <xdr:rowOff>9525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7700" y="38100"/>
          <a:ext cx="3213034" cy="1304925"/>
        </a:xfrm>
        <a:prstGeom prst="rect">
          <a:avLst/>
        </a:prstGeom>
      </xdr:spPr>
    </xdr:pic>
    <xdr:clientData/>
  </xdr:twoCellAnchor>
  <xdr:oneCellAnchor>
    <xdr:from>
      <xdr:col>0</xdr:col>
      <xdr:colOff>38100</xdr:colOff>
      <xdr:row>0</xdr:row>
      <xdr:rowOff>38100</xdr:rowOff>
    </xdr:from>
    <xdr:ext cx="3213034" cy="1304925"/>
    <xdr:pic>
      <xdr:nvPicPr>
        <xdr:cNvPr id="16" name="Рисунок 15">
          <a:extLst>
            <a:ext uri="{FF2B5EF4-FFF2-40B4-BE49-F238E27FC236}">
              <a16:creationId xmlns:a16="http://schemas.microsoft.com/office/drawing/2014/main" id="{9DD9EDBC-C55C-486B-B74D-FEEA7B859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3213034" cy="1304925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636790</xdr:colOff>
      <xdr:row>6</xdr:row>
      <xdr:rowOff>28574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84690" cy="11715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</xdr:colOff>
      <xdr:row>0</xdr:row>
      <xdr:rowOff>38100</xdr:rowOff>
    </xdr:from>
    <xdr:to>
      <xdr:col>25</xdr:col>
      <xdr:colOff>498409</xdr:colOff>
      <xdr:row>7</xdr:row>
      <xdr:rowOff>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72</xdr:col>
      <xdr:colOff>38100</xdr:colOff>
      <xdr:row>0</xdr:row>
      <xdr:rowOff>47625</xdr:rowOff>
    </xdr:from>
    <xdr:to>
      <xdr:col>83</xdr:col>
      <xdr:colOff>165034</xdr:colOff>
      <xdr:row>7</xdr:row>
      <xdr:rowOff>19050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72</xdr:col>
      <xdr:colOff>38100</xdr:colOff>
      <xdr:row>0</xdr:row>
      <xdr:rowOff>38100</xdr:rowOff>
    </xdr:from>
    <xdr:to>
      <xdr:col>83</xdr:col>
      <xdr:colOff>165034</xdr:colOff>
      <xdr:row>7</xdr:row>
      <xdr:rowOff>9525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88</xdr:col>
      <xdr:colOff>38100</xdr:colOff>
      <xdr:row>0</xdr:row>
      <xdr:rowOff>47625</xdr:rowOff>
    </xdr:from>
    <xdr:to>
      <xdr:col>99</xdr:col>
      <xdr:colOff>165034</xdr:colOff>
      <xdr:row>7</xdr:row>
      <xdr:rowOff>19050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770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88</xdr:col>
      <xdr:colOff>38100</xdr:colOff>
      <xdr:row>0</xdr:row>
      <xdr:rowOff>38100</xdr:rowOff>
    </xdr:from>
    <xdr:to>
      <xdr:col>99</xdr:col>
      <xdr:colOff>165034</xdr:colOff>
      <xdr:row>7</xdr:row>
      <xdr:rowOff>9525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770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56</xdr:col>
      <xdr:colOff>38100</xdr:colOff>
      <xdr:row>0</xdr:row>
      <xdr:rowOff>47625</xdr:rowOff>
    </xdr:from>
    <xdr:to>
      <xdr:col>67</xdr:col>
      <xdr:colOff>165034</xdr:colOff>
      <xdr:row>7</xdr:row>
      <xdr:rowOff>19050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5110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56</xdr:col>
      <xdr:colOff>38100</xdr:colOff>
      <xdr:row>0</xdr:row>
      <xdr:rowOff>38100</xdr:rowOff>
    </xdr:from>
    <xdr:to>
      <xdr:col>67</xdr:col>
      <xdr:colOff>165034</xdr:colOff>
      <xdr:row>7</xdr:row>
      <xdr:rowOff>9525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5110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40</xdr:col>
      <xdr:colOff>38100</xdr:colOff>
      <xdr:row>0</xdr:row>
      <xdr:rowOff>47625</xdr:rowOff>
    </xdr:from>
    <xdr:to>
      <xdr:col>51</xdr:col>
      <xdr:colOff>165034</xdr:colOff>
      <xdr:row>7</xdr:row>
      <xdr:rowOff>19050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5175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40</xdr:col>
      <xdr:colOff>38100</xdr:colOff>
      <xdr:row>0</xdr:row>
      <xdr:rowOff>38100</xdr:rowOff>
    </xdr:from>
    <xdr:to>
      <xdr:col>51</xdr:col>
      <xdr:colOff>165034</xdr:colOff>
      <xdr:row>7</xdr:row>
      <xdr:rowOff>9525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5175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40</xdr:col>
      <xdr:colOff>38100</xdr:colOff>
      <xdr:row>0</xdr:row>
      <xdr:rowOff>38100</xdr:rowOff>
    </xdr:from>
    <xdr:to>
      <xdr:col>51</xdr:col>
      <xdr:colOff>165034</xdr:colOff>
      <xdr:row>7</xdr:row>
      <xdr:rowOff>9525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5175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88</xdr:col>
      <xdr:colOff>38100</xdr:colOff>
      <xdr:row>0</xdr:row>
      <xdr:rowOff>47625</xdr:rowOff>
    </xdr:from>
    <xdr:to>
      <xdr:col>99</xdr:col>
      <xdr:colOff>165034</xdr:colOff>
      <xdr:row>7</xdr:row>
      <xdr:rowOff>19050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770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88</xdr:col>
      <xdr:colOff>38100</xdr:colOff>
      <xdr:row>0</xdr:row>
      <xdr:rowOff>38100</xdr:rowOff>
    </xdr:from>
    <xdr:to>
      <xdr:col>99</xdr:col>
      <xdr:colOff>165034</xdr:colOff>
      <xdr:row>7</xdr:row>
      <xdr:rowOff>9525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770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88</xdr:col>
      <xdr:colOff>38100</xdr:colOff>
      <xdr:row>0</xdr:row>
      <xdr:rowOff>47625</xdr:rowOff>
    </xdr:from>
    <xdr:to>
      <xdr:col>99</xdr:col>
      <xdr:colOff>165034</xdr:colOff>
      <xdr:row>7</xdr:row>
      <xdr:rowOff>19050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770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88</xdr:col>
      <xdr:colOff>38100</xdr:colOff>
      <xdr:row>0</xdr:row>
      <xdr:rowOff>38100</xdr:rowOff>
    </xdr:from>
    <xdr:to>
      <xdr:col>99</xdr:col>
      <xdr:colOff>165034</xdr:colOff>
      <xdr:row>7</xdr:row>
      <xdr:rowOff>9525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7700" y="38100"/>
          <a:ext cx="3213034" cy="1304925"/>
        </a:xfrm>
        <a:prstGeom prst="rect">
          <a:avLst/>
        </a:prstGeom>
      </xdr:spPr>
    </xdr:pic>
    <xdr:clientData/>
  </xdr:twoCellAnchor>
  <xdr:oneCellAnchor>
    <xdr:from>
      <xdr:col>0</xdr:col>
      <xdr:colOff>38100</xdr:colOff>
      <xdr:row>0</xdr:row>
      <xdr:rowOff>38100</xdr:rowOff>
    </xdr:from>
    <xdr:ext cx="3213034" cy="1304925"/>
    <xdr:pic>
      <xdr:nvPicPr>
        <xdr:cNvPr id="16" name="Рисунок 15">
          <a:extLst>
            <a:ext uri="{FF2B5EF4-FFF2-40B4-BE49-F238E27FC236}">
              <a16:creationId xmlns:a16="http://schemas.microsoft.com/office/drawing/2014/main" id="{9DD9EDBC-C55C-486B-B74D-FEEA7B859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3213034" cy="1304925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636790</xdr:colOff>
      <xdr:row>6</xdr:row>
      <xdr:rowOff>28574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84690" cy="11715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</xdr:colOff>
      <xdr:row>0</xdr:row>
      <xdr:rowOff>38100</xdr:rowOff>
    </xdr:from>
    <xdr:to>
      <xdr:col>31</xdr:col>
      <xdr:colOff>165034</xdr:colOff>
      <xdr:row>7</xdr:row>
      <xdr:rowOff>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64</xdr:col>
      <xdr:colOff>38100</xdr:colOff>
      <xdr:row>0</xdr:row>
      <xdr:rowOff>47625</xdr:rowOff>
    </xdr:from>
    <xdr:to>
      <xdr:col>75</xdr:col>
      <xdr:colOff>165034</xdr:colOff>
      <xdr:row>7</xdr:row>
      <xdr:rowOff>19050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64</xdr:col>
      <xdr:colOff>38100</xdr:colOff>
      <xdr:row>0</xdr:row>
      <xdr:rowOff>38100</xdr:rowOff>
    </xdr:from>
    <xdr:to>
      <xdr:col>75</xdr:col>
      <xdr:colOff>165034</xdr:colOff>
      <xdr:row>7</xdr:row>
      <xdr:rowOff>9525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80</xdr:col>
      <xdr:colOff>38100</xdr:colOff>
      <xdr:row>0</xdr:row>
      <xdr:rowOff>47625</xdr:rowOff>
    </xdr:from>
    <xdr:to>
      <xdr:col>91</xdr:col>
      <xdr:colOff>165034</xdr:colOff>
      <xdr:row>7</xdr:row>
      <xdr:rowOff>19050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770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80</xdr:col>
      <xdr:colOff>38100</xdr:colOff>
      <xdr:row>0</xdr:row>
      <xdr:rowOff>38100</xdr:rowOff>
    </xdr:from>
    <xdr:to>
      <xdr:col>91</xdr:col>
      <xdr:colOff>165034</xdr:colOff>
      <xdr:row>7</xdr:row>
      <xdr:rowOff>9525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770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48</xdr:col>
      <xdr:colOff>38100</xdr:colOff>
      <xdr:row>0</xdr:row>
      <xdr:rowOff>47625</xdr:rowOff>
    </xdr:from>
    <xdr:to>
      <xdr:col>59</xdr:col>
      <xdr:colOff>165034</xdr:colOff>
      <xdr:row>7</xdr:row>
      <xdr:rowOff>19050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5110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48</xdr:col>
      <xdr:colOff>38100</xdr:colOff>
      <xdr:row>0</xdr:row>
      <xdr:rowOff>38100</xdr:rowOff>
    </xdr:from>
    <xdr:to>
      <xdr:col>59</xdr:col>
      <xdr:colOff>165034</xdr:colOff>
      <xdr:row>7</xdr:row>
      <xdr:rowOff>9525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5110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32</xdr:col>
      <xdr:colOff>38100</xdr:colOff>
      <xdr:row>0</xdr:row>
      <xdr:rowOff>47625</xdr:rowOff>
    </xdr:from>
    <xdr:to>
      <xdr:col>43</xdr:col>
      <xdr:colOff>165034</xdr:colOff>
      <xdr:row>7</xdr:row>
      <xdr:rowOff>19050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5175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32</xdr:col>
      <xdr:colOff>38100</xdr:colOff>
      <xdr:row>0</xdr:row>
      <xdr:rowOff>38100</xdr:rowOff>
    </xdr:from>
    <xdr:to>
      <xdr:col>43</xdr:col>
      <xdr:colOff>165034</xdr:colOff>
      <xdr:row>7</xdr:row>
      <xdr:rowOff>9525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5175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32</xdr:col>
      <xdr:colOff>38100</xdr:colOff>
      <xdr:row>0</xdr:row>
      <xdr:rowOff>38100</xdr:rowOff>
    </xdr:from>
    <xdr:to>
      <xdr:col>43</xdr:col>
      <xdr:colOff>165034</xdr:colOff>
      <xdr:row>7</xdr:row>
      <xdr:rowOff>9525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5175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80</xdr:col>
      <xdr:colOff>38100</xdr:colOff>
      <xdr:row>0</xdr:row>
      <xdr:rowOff>47625</xdr:rowOff>
    </xdr:from>
    <xdr:to>
      <xdr:col>91</xdr:col>
      <xdr:colOff>165034</xdr:colOff>
      <xdr:row>7</xdr:row>
      <xdr:rowOff>19050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770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80</xdr:col>
      <xdr:colOff>38100</xdr:colOff>
      <xdr:row>0</xdr:row>
      <xdr:rowOff>38100</xdr:rowOff>
    </xdr:from>
    <xdr:to>
      <xdr:col>91</xdr:col>
      <xdr:colOff>165034</xdr:colOff>
      <xdr:row>7</xdr:row>
      <xdr:rowOff>9525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770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80</xdr:col>
      <xdr:colOff>38100</xdr:colOff>
      <xdr:row>0</xdr:row>
      <xdr:rowOff>47625</xdr:rowOff>
    </xdr:from>
    <xdr:to>
      <xdr:col>91</xdr:col>
      <xdr:colOff>165034</xdr:colOff>
      <xdr:row>7</xdr:row>
      <xdr:rowOff>19050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770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80</xdr:col>
      <xdr:colOff>38100</xdr:colOff>
      <xdr:row>0</xdr:row>
      <xdr:rowOff>38100</xdr:rowOff>
    </xdr:from>
    <xdr:to>
      <xdr:col>91</xdr:col>
      <xdr:colOff>165034</xdr:colOff>
      <xdr:row>7</xdr:row>
      <xdr:rowOff>9525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7700" y="38100"/>
          <a:ext cx="3213034" cy="1304925"/>
        </a:xfrm>
        <a:prstGeom prst="rect">
          <a:avLst/>
        </a:prstGeom>
      </xdr:spPr>
    </xdr:pic>
    <xdr:clientData/>
  </xdr:twoCellAnchor>
  <xdr:oneCellAnchor>
    <xdr:from>
      <xdr:col>0</xdr:col>
      <xdr:colOff>38100</xdr:colOff>
      <xdr:row>0</xdr:row>
      <xdr:rowOff>38100</xdr:rowOff>
    </xdr:from>
    <xdr:ext cx="3213034" cy="1304925"/>
    <xdr:pic>
      <xdr:nvPicPr>
        <xdr:cNvPr id="16" name="Рисунок 15">
          <a:extLst>
            <a:ext uri="{FF2B5EF4-FFF2-40B4-BE49-F238E27FC236}">
              <a16:creationId xmlns:a16="http://schemas.microsoft.com/office/drawing/2014/main" id="{9DD9EDBC-C55C-486B-B74D-FEEA7B859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3213034" cy="1304925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636790</xdr:colOff>
      <xdr:row>6</xdr:row>
      <xdr:rowOff>28574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84690" cy="11715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27190</xdr:colOff>
      <xdr:row>6</xdr:row>
      <xdr:rowOff>28574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84690" cy="11715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512965</xdr:colOff>
      <xdr:row>6</xdr:row>
      <xdr:rowOff>28574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84690" cy="11715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</xdr:colOff>
      <xdr:row>0</xdr:row>
      <xdr:rowOff>38100</xdr:rowOff>
    </xdr:from>
    <xdr:to>
      <xdr:col>19</xdr:col>
      <xdr:colOff>69784</xdr:colOff>
      <xdr:row>7</xdr:row>
      <xdr:rowOff>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64</xdr:col>
      <xdr:colOff>38100</xdr:colOff>
      <xdr:row>0</xdr:row>
      <xdr:rowOff>47625</xdr:rowOff>
    </xdr:from>
    <xdr:to>
      <xdr:col>67</xdr:col>
      <xdr:colOff>60259</xdr:colOff>
      <xdr:row>7</xdr:row>
      <xdr:rowOff>19050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8775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64</xdr:col>
      <xdr:colOff>38100</xdr:colOff>
      <xdr:row>0</xdr:row>
      <xdr:rowOff>38100</xdr:rowOff>
    </xdr:from>
    <xdr:to>
      <xdr:col>67</xdr:col>
      <xdr:colOff>60259</xdr:colOff>
      <xdr:row>7</xdr:row>
      <xdr:rowOff>9525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80</xdr:col>
      <xdr:colOff>38100</xdr:colOff>
      <xdr:row>0</xdr:row>
      <xdr:rowOff>47625</xdr:rowOff>
    </xdr:from>
    <xdr:to>
      <xdr:col>83</xdr:col>
      <xdr:colOff>60259</xdr:colOff>
      <xdr:row>7</xdr:row>
      <xdr:rowOff>19050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8775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80</xdr:col>
      <xdr:colOff>38100</xdr:colOff>
      <xdr:row>0</xdr:row>
      <xdr:rowOff>38100</xdr:rowOff>
    </xdr:from>
    <xdr:to>
      <xdr:col>83</xdr:col>
      <xdr:colOff>60259</xdr:colOff>
      <xdr:row>7</xdr:row>
      <xdr:rowOff>9525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8775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48</xdr:col>
      <xdr:colOff>38100</xdr:colOff>
      <xdr:row>0</xdr:row>
      <xdr:rowOff>47625</xdr:rowOff>
    </xdr:from>
    <xdr:to>
      <xdr:col>51</xdr:col>
      <xdr:colOff>60259</xdr:colOff>
      <xdr:row>7</xdr:row>
      <xdr:rowOff>19050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6505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48</xdr:col>
      <xdr:colOff>38100</xdr:colOff>
      <xdr:row>0</xdr:row>
      <xdr:rowOff>38100</xdr:rowOff>
    </xdr:from>
    <xdr:to>
      <xdr:col>51</xdr:col>
      <xdr:colOff>60259</xdr:colOff>
      <xdr:row>7</xdr:row>
      <xdr:rowOff>9525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6505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32</xdr:col>
      <xdr:colOff>38100</xdr:colOff>
      <xdr:row>0</xdr:row>
      <xdr:rowOff>47625</xdr:rowOff>
    </xdr:from>
    <xdr:to>
      <xdr:col>35</xdr:col>
      <xdr:colOff>60259</xdr:colOff>
      <xdr:row>7</xdr:row>
      <xdr:rowOff>19050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54375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32</xdr:col>
      <xdr:colOff>38100</xdr:colOff>
      <xdr:row>0</xdr:row>
      <xdr:rowOff>38100</xdr:rowOff>
    </xdr:from>
    <xdr:to>
      <xdr:col>35</xdr:col>
      <xdr:colOff>60259</xdr:colOff>
      <xdr:row>7</xdr:row>
      <xdr:rowOff>9525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54375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32</xdr:col>
      <xdr:colOff>38100</xdr:colOff>
      <xdr:row>0</xdr:row>
      <xdr:rowOff>38100</xdr:rowOff>
    </xdr:from>
    <xdr:to>
      <xdr:col>35</xdr:col>
      <xdr:colOff>60259</xdr:colOff>
      <xdr:row>7</xdr:row>
      <xdr:rowOff>9525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80</xdr:col>
      <xdr:colOff>38100</xdr:colOff>
      <xdr:row>0</xdr:row>
      <xdr:rowOff>47625</xdr:rowOff>
    </xdr:from>
    <xdr:to>
      <xdr:col>83</xdr:col>
      <xdr:colOff>60259</xdr:colOff>
      <xdr:row>7</xdr:row>
      <xdr:rowOff>19050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70125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80</xdr:col>
      <xdr:colOff>38100</xdr:colOff>
      <xdr:row>0</xdr:row>
      <xdr:rowOff>38100</xdr:rowOff>
    </xdr:from>
    <xdr:to>
      <xdr:col>83</xdr:col>
      <xdr:colOff>60259</xdr:colOff>
      <xdr:row>7</xdr:row>
      <xdr:rowOff>9525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70125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80</xdr:col>
      <xdr:colOff>38100</xdr:colOff>
      <xdr:row>0</xdr:row>
      <xdr:rowOff>47625</xdr:rowOff>
    </xdr:from>
    <xdr:to>
      <xdr:col>83</xdr:col>
      <xdr:colOff>60259</xdr:colOff>
      <xdr:row>7</xdr:row>
      <xdr:rowOff>19050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70125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80</xdr:col>
      <xdr:colOff>38100</xdr:colOff>
      <xdr:row>0</xdr:row>
      <xdr:rowOff>38100</xdr:rowOff>
    </xdr:from>
    <xdr:to>
      <xdr:col>83</xdr:col>
      <xdr:colOff>60259</xdr:colOff>
      <xdr:row>7</xdr:row>
      <xdr:rowOff>9525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70125" y="38100"/>
          <a:ext cx="3213034" cy="1304925"/>
        </a:xfrm>
        <a:prstGeom prst="rect">
          <a:avLst/>
        </a:prstGeom>
      </xdr:spPr>
    </xdr:pic>
    <xdr:clientData/>
  </xdr:twoCellAnchor>
  <xdr:oneCellAnchor>
    <xdr:from>
      <xdr:col>0</xdr:col>
      <xdr:colOff>38100</xdr:colOff>
      <xdr:row>0</xdr:row>
      <xdr:rowOff>38100</xdr:rowOff>
    </xdr:from>
    <xdr:ext cx="3213034" cy="1304925"/>
    <xdr:pic>
      <xdr:nvPicPr>
        <xdr:cNvPr id="16" name="Рисунок 15">
          <a:extLst>
            <a:ext uri="{FF2B5EF4-FFF2-40B4-BE49-F238E27FC236}">
              <a16:creationId xmlns:a16="http://schemas.microsoft.com/office/drawing/2014/main" id="{9DD9EDBC-C55C-486B-B74D-FEEA7B859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1700" y="38100"/>
          <a:ext cx="3213034" cy="130492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703465</xdr:colOff>
      <xdr:row>6</xdr:row>
      <xdr:rowOff>28574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84690" cy="11715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</xdr:colOff>
      <xdr:row>0</xdr:row>
      <xdr:rowOff>38100</xdr:rowOff>
    </xdr:from>
    <xdr:to>
      <xdr:col>27</xdr:col>
      <xdr:colOff>165034</xdr:colOff>
      <xdr:row>7</xdr:row>
      <xdr:rowOff>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830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72</xdr:col>
      <xdr:colOff>38100</xdr:colOff>
      <xdr:row>0</xdr:row>
      <xdr:rowOff>47625</xdr:rowOff>
    </xdr:from>
    <xdr:to>
      <xdr:col>83</xdr:col>
      <xdr:colOff>165034</xdr:colOff>
      <xdr:row>7</xdr:row>
      <xdr:rowOff>19050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080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72</xdr:col>
      <xdr:colOff>38100</xdr:colOff>
      <xdr:row>0</xdr:row>
      <xdr:rowOff>38100</xdr:rowOff>
    </xdr:from>
    <xdr:to>
      <xdr:col>83</xdr:col>
      <xdr:colOff>165034</xdr:colOff>
      <xdr:row>7</xdr:row>
      <xdr:rowOff>9525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080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88</xdr:col>
      <xdr:colOff>38100</xdr:colOff>
      <xdr:row>0</xdr:row>
      <xdr:rowOff>47625</xdr:rowOff>
    </xdr:from>
    <xdr:to>
      <xdr:col>99</xdr:col>
      <xdr:colOff>165034</xdr:colOff>
      <xdr:row>7</xdr:row>
      <xdr:rowOff>19050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1475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88</xdr:col>
      <xdr:colOff>38100</xdr:colOff>
      <xdr:row>0</xdr:row>
      <xdr:rowOff>38100</xdr:rowOff>
    </xdr:from>
    <xdr:to>
      <xdr:col>99</xdr:col>
      <xdr:colOff>165034</xdr:colOff>
      <xdr:row>7</xdr:row>
      <xdr:rowOff>9525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1475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56</xdr:col>
      <xdr:colOff>38100</xdr:colOff>
      <xdr:row>0</xdr:row>
      <xdr:rowOff>47625</xdr:rowOff>
    </xdr:from>
    <xdr:to>
      <xdr:col>67</xdr:col>
      <xdr:colOff>165034</xdr:colOff>
      <xdr:row>7</xdr:row>
      <xdr:rowOff>19050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70125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56</xdr:col>
      <xdr:colOff>38100</xdr:colOff>
      <xdr:row>0</xdr:row>
      <xdr:rowOff>38100</xdr:rowOff>
    </xdr:from>
    <xdr:to>
      <xdr:col>67</xdr:col>
      <xdr:colOff>165034</xdr:colOff>
      <xdr:row>7</xdr:row>
      <xdr:rowOff>9525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70125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40</xdr:col>
      <xdr:colOff>38100</xdr:colOff>
      <xdr:row>0</xdr:row>
      <xdr:rowOff>47625</xdr:rowOff>
    </xdr:from>
    <xdr:to>
      <xdr:col>51</xdr:col>
      <xdr:colOff>165034</xdr:colOff>
      <xdr:row>7</xdr:row>
      <xdr:rowOff>19050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945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40</xdr:col>
      <xdr:colOff>38100</xdr:colOff>
      <xdr:row>0</xdr:row>
      <xdr:rowOff>38100</xdr:rowOff>
    </xdr:from>
    <xdr:to>
      <xdr:col>51</xdr:col>
      <xdr:colOff>165034</xdr:colOff>
      <xdr:row>7</xdr:row>
      <xdr:rowOff>9525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945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40</xdr:col>
      <xdr:colOff>38100</xdr:colOff>
      <xdr:row>0</xdr:row>
      <xdr:rowOff>38100</xdr:rowOff>
    </xdr:from>
    <xdr:to>
      <xdr:col>51</xdr:col>
      <xdr:colOff>165034</xdr:colOff>
      <xdr:row>7</xdr:row>
      <xdr:rowOff>9525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945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88</xdr:col>
      <xdr:colOff>38100</xdr:colOff>
      <xdr:row>0</xdr:row>
      <xdr:rowOff>47625</xdr:rowOff>
    </xdr:from>
    <xdr:to>
      <xdr:col>99</xdr:col>
      <xdr:colOff>165034</xdr:colOff>
      <xdr:row>7</xdr:row>
      <xdr:rowOff>19050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1475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88</xdr:col>
      <xdr:colOff>38100</xdr:colOff>
      <xdr:row>0</xdr:row>
      <xdr:rowOff>38100</xdr:rowOff>
    </xdr:from>
    <xdr:to>
      <xdr:col>99</xdr:col>
      <xdr:colOff>165034</xdr:colOff>
      <xdr:row>7</xdr:row>
      <xdr:rowOff>9525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1475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88</xdr:col>
      <xdr:colOff>38100</xdr:colOff>
      <xdr:row>0</xdr:row>
      <xdr:rowOff>47625</xdr:rowOff>
    </xdr:from>
    <xdr:to>
      <xdr:col>99</xdr:col>
      <xdr:colOff>165034</xdr:colOff>
      <xdr:row>7</xdr:row>
      <xdr:rowOff>19050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1475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88</xdr:col>
      <xdr:colOff>38100</xdr:colOff>
      <xdr:row>0</xdr:row>
      <xdr:rowOff>38100</xdr:rowOff>
    </xdr:from>
    <xdr:to>
      <xdr:col>99</xdr:col>
      <xdr:colOff>165034</xdr:colOff>
      <xdr:row>7</xdr:row>
      <xdr:rowOff>9525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1475" y="38100"/>
          <a:ext cx="3213034" cy="1304925"/>
        </a:xfrm>
        <a:prstGeom prst="rect">
          <a:avLst/>
        </a:prstGeom>
      </xdr:spPr>
    </xdr:pic>
    <xdr:clientData/>
  </xdr:twoCellAnchor>
  <xdr:oneCellAnchor>
    <xdr:from>
      <xdr:col>0</xdr:col>
      <xdr:colOff>38100</xdr:colOff>
      <xdr:row>0</xdr:row>
      <xdr:rowOff>38100</xdr:rowOff>
    </xdr:from>
    <xdr:ext cx="3213034" cy="1304925"/>
    <xdr:pic>
      <xdr:nvPicPr>
        <xdr:cNvPr id="16" name="Рисунок 15">
          <a:extLst>
            <a:ext uri="{FF2B5EF4-FFF2-40B4-BE49-F238E27FC236}">
              <a16:creationId xmlns:a16="http://schemas.microsoft.com/office/drawing/2014/main" id="{9DD9EDBC-C55C-486B-B74D-FEEA7B859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3213034" cy="130492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674890</xdr:colOff>
      <xdr:row>6</xdr:row>
      <xdr:rowOff>28574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84690" cy="11715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</xdr:colOff>
      <xdr:row>0</xdr:row>
      <xdr:rowOff>38100</xdr:rowOff>
    </xdr:from>
    <xdr:to>
      <xdr:col>27</xdr:col>
      <xdr:colOff>165034</xdr:colOff>
      <xdr:row>7</xdr:row>
      <xdr:rowOff>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72</xdr:col>
      <xdr:colOff>38100</xdr:colOff>
      <xdr:row>0</xdr:row>
      <xdr:rowOff>47625</xdr:rowOff>
    </xdr:from>
    <xdr:to>
      <xdr:col>83</xdr:col>
      <xdr:colOff>165034</xdr:colOff>
      <xdr:row>7</xdr:row>
      <xdr:rowOff>19050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1415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72</xdr:col>
      <xdr:colOff>38100</xdr:colOff>
      <xdr:row>0</xdr:row>
      <xdr:rowOff>38100</xdr:rowOff>
    </xdr:from>
    <xdr:to>
      <xdr:col>83</xdr:col>
      <xdr:colOff>165034</xdr:colOff>
      <xdr:row>7</xdr:row>
      <xdr:rowOff>9525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1415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88</xdr:col>
      <xdr:colOff>38100</xdr:colOff>
      <xdr:row>0</xdr:row>
      <xdr:rowOff>47625</xdr:rowOff>
    </xdr:from>
    <xdr:to>
      <xdr:col>99</xdr:col>
      <xdr:colOff>165034</xdr:colOff>
      <xdr:row>7</xdr:row>
      <xdr:rowOff>19050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7245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88</xdr:col>
      <xdr:colOff>38100</xdr:colOff>
      <xdr:row>0</xdr:row>
      <xdr:rowOff>38100</xdr:rowOff>
    </xdr:from>
    <xdr:to>
      <xdr:col>99</xdr:col>
      <xdr:colOff>165034</xdr:colOff>
      <xdr:row>7</xdr:row>
      <xdr:rowOff>9525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7245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56</xdr:col>
      <xdr:colOff>38100</xdr:colOff>
      <xdr:row>0</xdr:row>
      <xdr:rowOff>47625</xdr:rowOff>
    </xdr:from>
    <xdr:to>
      <xdr:col>67</xdr:col>
      <xdr:colOff>165034</xdr:colOff>
      <xdr:row>7</xdr:row>
      <xdr:rowOff>19050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585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56</xdr:col>
      <xdr:colOff>38100</xdr:colOff>
      <xdr:row>0</xdr:row>
      <xdr:rowOff>38100</xdr:rowOff>
    </xdr:from>
    <xdr:to>
      <xdr:col>67</xdr:col>
      <xdr:colOff>165034</xdr:colOff>
      <xdr:row>7</xdr:row>
      <xdr:rowOff>9525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585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40</xdr:col>
      <xdr:colOff>38100</xdr:colOff>
      <xdr:row>0</xdr:row>
      <xdr:rowOff>47625</xdr:rowOff>
    </xdr:from>
    <xdr:to>
      <xdr:col>51</xdr:col>
      <xdr:colOff>165034</xdr:colOff>
      <xdr:row>7</xdr:row>
      <xdr:rowOff>19050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5175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40</xdr:col>
      <xdr:colOff>38100</xdr:colOff>
      <xdr:row>0</xdr:row>
      <xdr:rowOff>38100</xdr:rowOff>
    </xdr:from>
    <xdr:to>
      <xdr:col>51</xdr:col>
      <xdr:colOff>165034</xdr:colOff>
      <xdr:row>7</xdr:row>
      <xdr:rowOff>9525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5175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40</xdr:col>
      <xdr:colOff>38100</xdr:colOff>
      <xdr:row>0</xdr:row>
      <xdr:rowOff>38100</xdr:rowOff>
    </xdr:from>
    <xdr:to>
      <xdr:col>51</xdr:col>
      <xdr:colOff>165034</xdr:colOff>
      <xdr:row>7</xdr:row>
      <xdr:rowOff>9525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5175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88</xdr:col>
      <xdr:colOff>38100</xdr:colOff>
      <xdr:row>0</xdr:row>
      <xdr:rowOff>47625</xdr:rowOff>
    </xdr:from>
    <xdr:to>
      <xdr:col>99</xdr:col>
      <xdr:colOff>165034</xdr:colOff>
      <xdr:row>7</xdr:row>
      <xdr:rowOff>19050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7245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88</xdr:col>
      <xdr:colOff>38100</xdr:colOff>
      <xdr:row>0</xdr:row>
      <xdr:rowOff>38100</xdr:rowOff>
    </xdr:from>
    <xdr:to>
      <xdr:col>99</xdr:col>
      <xdr:colOff>165034</xdr:colOff>
      <xdr:row>7</xdr:row>
      <xdr:rowOff>9525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72450" y="38100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88</xdr:col>
      <xdr:colOff>38100</xdr:colOff>
      <xdr:row>0</xdr:row>
      <xdr:rowOff>47625</xdr:rowOff>
    </xdr:from>
    <xdr:to>
      <xdr:col>99</xdr:col>
      <xdr:colOff>165034</xdr:colOff>
      <xdr:row>7</xdr:row>
      <xdr:rowOff>19050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72450" y="47625"/>
          <a:ext cx="3213034" cy="1304925"/>
        </a:xfrm>
        <a:prstGeom prst="rect">
          <a:avLst/>
        </a:prstGeom>
      </xdr:spPr>
    </xdr:pic>
    <xdr:clientData/>
  </xdr:twoCellAnchor>
  <xdr:twoCellAnchor editAs="oneCell">
    <xdr:from>
      <xdr:col>88</xdr:col>
      <xdr:colOff>38100</xdr:colOff>
      <xdr:row>0</xdr:row>
      <xdr:rowOff>38100</xdr:rowOff>
    </xdr:from>
    <xdr:to>
      <xdr:col>99</xdr:col>
      <xdr:colOff>165034</xdr:colOff>
      <xdr:row>7</xdr:row>
      <xdr:rowOff>9525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72450" y="38100"/>
          <a:ext cx="3213034" cy="1304925"/>
        </a:xfrm>
        <a:prstGeom prst="rect">
          <a:avLst/>
        </a:prstGeom>
      </xdr:spPr>
    </xdr:pic>
    <xdr:clientData/>
  </xdr:twoCellAnchor>
  <xdr:oneCellAnchor>
    <xdr:from>
      <xdr:col>0</xdr:col>
      <xdr:colOff>38100</xdr:colOff>
      <xdr:row>0</xdr:row>
      <xdr:rowOff>38100</xdr:rowOff>
    </xdr:from>
    <xdr:ext cx="3213034" cy="1304925"/>
    <xdr:pic>
      <xdr:nvPicPr>
        <xdr:cNvPr id="16" name="Рисунок 15">
          <a:extLst>
            <a:ext uri="{FF2B5EF4-FFF2-40B4-BE49-F238E27FC236}">
              <a16:creationId xmlns:a16="http://schemas.microsoft.com/office/drawing/2014/main" id="{9DD9EDBC-C55C-486B-B74D-FEEA7B859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3213034" cy="1304925"/>
        </a:xfrm>
        <a:prstGeom prst="rect">
          <a:avLst/>
        </a:prstGeom>
      </xdr:spPr>
    </xdr:pic>
    <xdr:clientData/>
  </xdr:oneCellAnchor>
  <xdr:twoCellAnchor editAs="oneCell">
    <xdr:from>
      <xdr:col>16</xdr:col>
      <xdr:colOff>47625</xdr:colOff>
      <xdr:row>0</xdr:row>
      <xdr:rowOff>38100</xdr:rowOff>
    </xdr:from>
    <xdr:to>
      <xdr:col>27</xdr:col>
      <xdr:colOff>165034</xdr:colOff>
      <xdr:row>7</xdr:row>
      <xdr:rowOff>9525</xdr:rowOff>
    </xdr:to>
    <xdr:pic>
      <xdr:nvPicPr>
        <xdr:cNvPr id="17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2150" y="38100"/>
          <a:ext cx="3213034" cy="13049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674890</xdr:colOff>
      <xdr:row>6</xdr:row>
      <xdr:rowOff>28574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84690" cy="11715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ED118"/>
  <sheetViews>
    <sheetView workbookViewId="0">
      <pane xSplit="6" ySplit="2" topLeftCell="G3" activePane="bottomRight" state="frozen"/>
      <selection activeCell="A101" sqref="A13:A101"/>
      <selection pane="topRight" activeCell="A101" sqref="A13:A101"/>
      <selection pane="bottomLeft" activeCell="A101" sqref="A13:A101"/>
      <selection pane="bottomRight" activeCell="I10" sqref="I10"/>
    </sheetView>
  </sheetViews>
  <sheetFormatPr defaultRowHeight="15" x14ac:dyDescent="0.25"/>
  <cols>
    <col min="1" max="1" width="4.42578125" style="2" bestFit="1" customWidth="1"/>
    <col min="2" max="2" width="50" bestFit="1" customWidth="1"/>
    <col min="3" max="3" width="9.140625" customWidth="1"/>
    <col min="4" max="4" width="21.5703125" customWidth="1"/>
    <col min="5" max="5" width="23" style="4" bestFit="1" customWidth="1"/>
    <col min="6" max="6" width="20.140625" bestFit="1" customWidth="1"/>
    <col min="7" max="7" width="6.85546875" style="1" bestFit="1" customWidth="1"/>
    <col min="8" max="8" width="7.140625" style="52" bestFit="1" customWidth="1"/>
    <col min="9" max="10" width="7.140625" bestFit="1" customWidth="1"/>
    <col min="11" max="22" width="7.140625" customWidth="1"/>
    <col min="23" max="23" width="7.28515625" customWidth="1"/>
    <col min="24" max="38" width="7.140625" customWidth="1"/>
    <col min="39" max="66" width="4.42578125" customWidth="1"/>
    <col min="67" max="68" width="4.42578125" bestFit="1" customWidth="1"/>
    <col min="69" max="69" width="6.140625" style="20" bestFit="1" customWidth="1"/>
    <col min="70" max="70" width="4.140625" style="52" bestFit="1" customWidth="1"/>
    <col min="71" max="79" width="4.140625" bestFit="1" customWidth="1"/>
    <col min="80" max="100" width="4.42578125" bestFit="1" customWidth="1"/>
    <col min="101" max="101" width="4.42578125" style="52" bestFit="1" customWidth="1"/>
    <col min="102" max="130" width="4.42578125" bestFit="1" customWidth="1"/>
    <col min="131" max="131" width="4.42578125" customWidth="1"/>
    <col min="132" max="132" width="6.140625" style="20" bestFit="1" customWidth="1"/>
    <col min="133" max="133" width="6.5703125" style="1" bestFit="1" customWidth="1"/>
    <col min="134" max="134" width="6.140625" style="1" bestFit="1" customWidth="1"/>
  </cols>
  <sheetData>
    <row r="1" spans="1:134" s="3" customFormat="1" ht="22.5" x14ac:dyDescent="0.25">
      <c r="A1" s="7" t="s">
        <v>0</v>
      </c>
      <c r="B1" s="8" t="s">
        <v>1</v>
      </c>
      <c r="C1" s="8" t="s">
        <v>2</v>
      </c>
      <c r="D1" s="8" t="s">
        <v>3</v>
      </c>
      <c r="E1" s="9" t="s">
        <v>4</v>
      </c>
      <c r="F1" s="7" t="s">
        <v>5</v>
      </c>
      <c r="G1" s="8" t="s">
        <v>103</v>
      </c>
      <c r="H1" s="48" t="s">
        <v>220</v>
      </c>
      <c r="I1" s="48" t="s">
        <v>6</v>
      </c>
      <c r="J1" s="48" t="s">
        <v>7</v>
      </c>
      <c r="K1" s="48" t="s">
        <v>8</v>
      </c>
      <c r="L1" s="48" t="s">
        <v>9</v>
      </c>
      <c r="M1" s="48" t="s">
        <v>10</v>
      </c>
      <c r="N1" s="48" t="s">
        <v>11</v>
      </c>
      <c r="O1" s="48" t="s">
        <v>12</v>
      </c>
      <c r="P1" s="48" t="s">
        <v>13</v>
      </c>
      <c r="Q1" s="48" t="s">
        <v>14</v>
      </c>
      <c r="R1" s="48" t="s">
        <v>15</v>
      </c>
      <c r="S1" s="48" t="s">
        <v>16</v>
      </c>
      <c r="T1" s="48" t="s">
        <v>17</v>
      </c>
      <c r="U1" s="48" t="s">
        <v>18</v>
      </c>
      <c r="V1" s="48" t="s">
        <v>19</v>
      </c>
      <c r="W1" s="48" t="s">
        <v>20</v>
      </c>
      <c r="X1" s="48" t="s">
        <v>21</v>
      </c>
      <c r="Y1" s="48" t="s">
        <v>22</v>
      </c>
      <c r="Z1" s="48" t="s">
        <v>23</v>
      </c>
      <c r="AA1" s="48" t="s">
        <v>24</v>
      </c>
      <c r="AB1" s="48" t="s">
        <v>25</v>
      </c>
      <c r="AC1" s="48" t="s">
        <v>66</v>
      </c>
      <c r="AD1" s="48" t="s">
        <v>67</v>
      </c>
      <c r="AE1" s="48" t="s">
        <v>68</v>
      </c>
      <c r="AF1" s="48" t="s">
        <v>69</v>
      </c>
      <c r="AG1" s="48" t="s">
        <v>70</v>
      </c>
      <c r="AH1" s="48" t="s">
        <v>71</v>
      </c>
      <c r="AI1" s="48" t="s">
        <v>72</v>
      </c>
      <c r="AJ1" s="48" t="s">
        <v>73</v>
      </c>
      <c r="AK1" s="48" t="s">
        <v>74</v>
      </c>
      <c r="AL1" s="48" t="s">
        <v>75</v>
      </c>
      <c r="AM1" s="8" t="s">
        <v>121</v>
      </c>
      <c r="AN1" s="8" t="s">
        <v>122</v>
      </c>
      <c r="AO1" s="8" t="s">
        <v>123</v>
      </c>
      <c r="AP1" s="8" t="s">
        <v>124</v>
      </c>
      <c r="AQ1" s="8" t="s">
        <v>125</v>
      </c>
      <c r="AR1" s="8" t="s">
        <v>126</v>
      </c>
      <c r="AS1" s="8" t="s">
        <v>127</v>
      </c>
      <c r="AT1" s="8" t="s">
        <v>128</v>
      </c>
      <c r="AU1" s="8" t="s">
        <v>129</v>
      </c>
      <c r="AV1" s="8" t="s">
        <v>130</v>
      </c>
      <c r="AW1" s="8" t="s">
        <v>131</v>
      </c>
      <c r="AX1" s="8" t="s">
        <v>132</v>
      </c>
      <c r="AY1" s="8" t="s">
        <v>133</v>
      </c>
      <c r="AZ1" s="8" t="s">
        <v>134</v>
      </c>
      <c r="BA1" s="8" t="s">
        <v>135</v>
      </c>
      <c r="BB1" s="8" t="s">
        <v>136</v>
      </c>
      <c r="BC1" s="8" t="s">
        <v>137</v>
      </c>
      <c r="BD1" s="8" t="s">
        <v>138</v>
      </c>
      <c r="BE1" s="8" t="s">
        <v>139</v>
      </c>
      <c r="BF1" s="8" t="s">
        <v>140</v>
      </c>
      <c r="BG1" s="8" t="s">
        <v>141</v>
      </c>
      <c r="BH1" s="8" t="s">
        <v>142</v>
      </c>
      <c r="BI1" s="8" t="s">
        <v>143</v>
      </c>
      <c r="BJ1" s="8" t="s">
        <v>144</v>
      </c>
      <c r="BK1" s="8" t="s">
        <v>145</v>
      </c>
      <c r="BL1" s="8" t="s">
        <v>146</v>
      </c>
      <c r="BM1" s="8" t="s">
        <v>147</v>
      </c>
      <c r="BN1" s="8" t="s">
        <v>148</v>
      </c>
      <c r="BO1" s="8" t="s">
        <v>149</v>
      </c>
      <c r="BP1" s="8" t="s">
        <v>150</v>
      </c>
      <c r="BQ1" s="47" t="s">
        <v>151</v>
      </c>
      <c r="BR1" s="8" t="s">
        <v>221</v>
      </c>
      <c r="BS1" s="8" t="s">
        <v>26</v>
      </c>
      <c r="BT1" s="8" t="s">
        <v>27</v>
      </c>
      <c r="BU1" s="8" t="s">
        <v>28</v>
      </c>
      <c r="BV1" s="8" t="s">
        <v>29</v>
      </c>
      <c r="BW1" s="8" t="s">
        <v>30</v>
      </c>
      <c r="BX1" s="8" t="s">
        <v>31</v>
      </c>
      <c r="BY1" s="8" t="s">
        <v>32</v>
      </c>
      <c r="BZ1" s="8" t="s">
        <v>33</v>
      </c>
      <c r="CA1" s="8" t="s">
        <v>34</v>
      </c>
      <c r="CB1" s="8" t="s">
        <v>35</v>
      </c>
      <c r="CC1" s="8" t="s">
        <v>36</v>
      </c>
      <c r="CD1" s="8" t="s">
        <v>37</v>
      </c>
      <c r="CE1" s="8" t="s">
        <v>38</v>
      </c>
      <c r="CF1" s="8" t="s">
        <v>39</v>
      </c>
      <c r="CG1" s="8" t="s">
        <v>40</v>
      </c>
      <c r="CH1" s="8" t="s">
        <v>41</v>
      </c>
      <c r="CI1" s="8" t="s">
        <v>42</v>
      </c>
      <c r="CJ1" s="8" t="s">
        <v>43</v>
      </c>
      <c r="CK1" s="8" t="s">
        <v>44</v>
      </c>
      <c r="CL1" s="8" t="s">
        <v>45</v>
      </c>
      <c r="CM1" s="8" t="s">
        <v>76</v>
      </c>
      <c r="CN1" s="8" t="s">
        <v>77</v>
      </c>
      <c r="CO1" s="8" t="s">
        <v>78</v>
      </c>
      <c r="CP1" s="8" t="s">
        <v>79</v>
      </c>
      <c r="CQ1" s="8" t="s">
        <v>80</v>
      </c>
      <c r="CR1" s="8" t="s">
        <v>81</v>
      </c>
      <c r="CS1" s="8" t="s">
        <v>82</v>
      </c>
      <c r="CT1" s="8" t="s">
        <v>83</v>
      </c>
      <c r="CU1" s="8" t="s">
        <v>84</v>
      </c>
      <c r="CV1" s="8" t="s">
        <v>85</v>
      </c>
      <c r="CW1" s="49" t="s">
        <v>222</v>
      </c>
      <c r="CX1" s="49" t="s">
        <v>46</v>
      </c>
      <c r="CY1" s="49" t="s">
        <v>47</v>
      </c>
      <c r="CZ1" s="49" t="s">
        <v>48</v>
      </c>
      <c r="DA1" s="49" t="s">
        <v>49</v>
      </c>
      <c r="DB1" s="49" t="s">
        <v>50</v>
      </c>
      <c r="DC1" s="49" t="s">
        <v>51</v>
      </c>
      <c r="DD1" s="49" t="s">
        <v>52</v>
      </c>
      <c r="DE1" s="49" t="s">
        <v>53</v>
      </c>
      <c r="DF1" s="49" t="s">
        <v>54</v>
      </c>
      <c r="DG1" s="49" t="s">
        <v>55</v>
      </c>
      <c r="DH1" s="49" t="s">
        <v>56</v>
      </c>
      <c r="DI1" s="49" t="s">
        <v>57</v>
      </c>
      <c r="DJ1" s="49" t="s">
        <v>58</v>
      </c>
      <c r="DK1" s="49" t="s">
        <v>59</v>
      </c>
      <c r="DL1" s="49" t="s">
        <v>60</v>
      </c>
      <c r="DM1" s="49" t="s">
        <v>61</v>
      </c>
      <c r="DN1" s="49" t="s">
        <v>62</v>
      </c>
      <c r="DO1" s="49" t="s">
        <v>63</v>
      </c>
      <c r="DP1" s="49" t="s">
        <v>64</v>
      </c>
      <c r="DQ1" s="49" t="s">
        <v>65</v>
      </c>
      <c r="DR1" s="49" t="s">
        <v>86</v>
      </c>
      <c r="DS1" s="49" t="s">
        <v>87</v>
      </c>
      <c r="DT1" s="49" t="s">
        <v>88</v>
      </c>
      <c r="DU1" s="49" t="s">
        <v>89</v>
      </c>
      <c r="DV1" s="49" t="s">
        <v>90</v>
      </c>
      <c r="DW1" s="49" t="s">
        <v>91</v>
      </c>
      <c r="DX1" s="49" t="s">
        <v>92</v>
      </c>
      <c r="DY1" s="49" t="s">
        <v>93</v>
      </c>
      <c r="DZ1" s="49" t="s">
        <v>94</v>
      </c>
      <c r="EA1" s="49" t="s">
        <v>95</v>
      </c>
      <c r="EB1" s="8" t="s">
        <v>205</v>
      </c>
      <c r="EC1" s="8" t="s">
        <v>206</v>
      </c>
      <c r="ED1" s="8" t="s">
        <v>207</v>
      </c>
    </row>
    <row r="2" spans="1:134" s="3" customFormat="1" ht="11.25" x14ac:dyDescent="0.25">
      <c r="A2" s="7" t="s">
        <v>96</v>
      </c>
      <c r="B2" s="8">
        <v>2</v>
      </c>
      <c r="C2" s="8">
        <v>3</v>
      </c>
      <c r="D2" s="8">
        <v>4</v>
      </c>
      <c r="E2" s="8">
        <v>5</v>
      </c>
      <c r="F2" s="8">
        <v>6</v>
      </c>
      <c r="G2" s="8">
        <v>7</v>
      </c>
      <c r="H2" s="8">
        <v>8</v>
      </c>
      <c r="I2" s="8">
        <v>9</v>
      </c>
      <c r="J2" s="8">
        <v>10</v>
      </c>
      <c r="K2" s="8">
        <v>11</v>
      </c>
      <c r="L2" s="8">
        <v>12</v>
      </c>
      <c r="M2" s="8">
        <v>13</v>
      </c>
      <c r="N2" s="8">
        <v>14</v>
      </c>
      <c r="O2" s="8">
        <v>15</v>
      </c>
      <c r="P2" s="8">
        <v>16</v>
      </c>
      <c r="Q2" s="8">
        <v>17</v>
      </c>
      <c r="R2" s="8">
        <v>18</v>
      </c>
      <c r="S2" s="8">
        <v>19</v>
      </c>
      <c r="T2" s="8">
        <v>20</v>
      </c>
      <c r="U2" s="8">
        <v>21</v>
      </c>
      <c r="V2" s="8">
        <v>22</v>
      </c>
      <c r="W2" s="8">
        <v>23</v>
      </c>
      <c r="X2" s="8">
        <v>24</v>
      </c>
      <c r="Y2" s="8">
        <v>25</v>
      </c>
      <c r="Z2" s="8">
        <v>26</v>
      </c>
      <c r="AA2" s="8">
        <v>27</v>
      </c>
      <c r="AB2" s="8">
        <v>28</v>
      </c>
      <c r="AC2" s="8">
        <v>29</v>
      </c>
      <c r="AD2" s="8">
        <v>30</v>
      </c>
      <c r="AE2" s="8">
        <v>31</v>
      </c>
      <c r="AF2" s="8">
        <v>32</v>
      </c>
      <c r="AG2" s="8">
        <v>33</v>
      </c>
      <c r="AH2" s="8">
        <v>34</v>
      </c>
      <c r="AI2" s="8">
        <v>35</v>
      </c>
      <c r="AJ2" s="8">
        <v>36</v>
      </c>
      <c r="AK2" s="8">
        <v>37</v>
      </c>
      <c r="AL2" s="8">
        <v>38</v>
      </c>
      <c r="AM2" s="8">
        <v>39</v>
      </c>
      <c r="AN2" s="8">
        <v>40</v>
      </c>
      <c r="AO2" s="8">
        <v>41</v>
      </c>
      <c r="AP2" s="8">
        <v>42</v>
      </c>
      <c r="AQ2" s="8">
        <v>43</v>
      </c>
      <c r="AR2" s="8">
        <v>44</v>
      </c>
      <c r="AS2" s="8">
        <v>45</v>
      </c>
      <c r="AT2" s="8">
        <v>46</v>
      </c>
      <c r="AU2" s="8">
        <v>47</v>
      </c>
      <c r="AV2" s="8">
        <v>48</v>
      </c>
      <c r="AW2" s="8">
        <v>49</v>
      </c>
      <c r="AX2" s="8">
        <v>50</v>
      </c>
      <c r="AY2" s="8">
        <v>51</v>
      </c>
      <c r="AZ2" s="8">
        <v>52</v>
      </c>
      <c r="BA2" s="8">
        <v>53</v>
      </c>
      <c r="BB2" s="8">
        <v>54</v>
      </c>
      <c r="BC2" s="8">
        <v>55</v>
      </c>
      <c r="BD2" s="8">
        <v>56</v>
      </c>
      <c r="BE2" s="8">
        <v>57</v>
      </c>
      <c r="BF2" s="8">
        <v>58</v>
      </c>
      <c r="BG2" s="8">
        <v>59</v>
      </c>
      <c r="BH2" s="8">
        <v>60</v>
      </c>
      <c r="BI2" s="8">
        <v>61</v>
      </c>
      <c r="BJ2" s="8">
        <v>62</v>
      </c>
      <c r="BK2" s="8">
        <v>63</v>
      </c>
      <c r="BL2" s="8">
        <v>64</v>
      </c>
      <c r="BM2" s="8">
        <v>65</v>
      </c>
      <c r="BN2" s="8">
        <v>66</v>
      </c>
      <c r="BO2" s="8">
        <v>67</v>
      </c>
      <c r="BP2" s="8">
        <v>68</v>
      </c>
      <c r="BQ2" s="8">
        <v>69</v>
      </c>
      <c r="BR2" s="8">
        <v>70</v>
      </c>
      <c r="BS2" s="8">
        <v>71</v>
      </c>
      <c r="BT2" s="8">
        <v>72</v>
      </c>
      <c r="BU2" s="8">
        <v>73</v>
      </c>
      <c r="BV2" s="8">
        <v>74</v>
      </c>
      <c r="BW2" s="8">
        <v>75</v>
      </c>
      <c r="BX2" s="8">
        <v>76</v>
      </c>
      <c r="BY2" s="8">
        <v>77</v>
      </c>
      <c r="BZ2" s="8">
        <v>78</v>
      </c>
      <c r="CA2" s="8">
        <v>79</v>
      </c>
      <c r="CB2" s="8">
        <v>80</v>
      </c>
      <c r="CC2" s="8">
        <v>81</v>
      </c>
      <c r="CD2" s="8">
        <v>82</v>
      </c>
      <c r="CE2" s="8">
        <v>83</v>
      </c>
      <c r="CF2" s="8">
        <v>84</v>
      </c>
      <c r="CG2" s="8">
        <v>85</v>
      </c>
      <c r="CH2" s="8">
        <v>86</v>
      </c>
      <c r="CI2" s="8">
        <v>87</v>
      </c>
      <c r="CJ2" s="8">
        <v>88</v>
      </c>
      <c r="CK2" s="8">
        <v>89</v>
      </c>
      <c r="CL2" s="8">
        <v>90</v>
      </c>
      <c r="CM2" s="8">
        <v>91</v>
      </c>
      <c r="CN2" s="8">
        <v>92</v>
      </c>
      <c r="CO2" s="8">
        <v>93</v>
      </c>
      <c r="CP2" s="8">
        <v>94</v>
      </c>
      <c r="CQ2" s="8">
        <v>95</v>
      </c>
      <c r="CR2" s="8">
        <v>96</v>
      </c>
      <c r="CS2" s="8">
        <v>97</v>
      </c>
      <c r="CT2" s="8">
        <v>98</v>
      </c>
      <c r="CU2" s="8">
        <v>99</v>
      </c>
      <c r="CV2" s="8">
        <v>100</v>
      </c>
      <c r="CW2" s="8">
        <v>101</v>
      </c>
      <c r="CX2" s="8">
        <v>102</v>
      </c>
      <c r="CY2" s="8">
        <v>103</v>
      </c>
      <c r="CZ2" s="8">
        <v>104</v>
      </c>
      <c r="DA2" s="8">
        <v>105</v>
      </c>
      <c r="DB2" s="8">
        <v>106</v>
      </c>
      <c r="DC2" s="8">
        <v>107</v>
      </c>
      <c r="DD2" s="8">
        <v>108</v>
      </c>
      <c r="DE2" s="8">
        <v>109</v>
      </c>
      <c r="DF2" s="8">
        <v>110</v>
      </c>
      <c r="DG2" s="8">
        <v>111</v>
      </c>
      <c r="DH2" s="8">
        <v>112</v>
      </c>
      <c r="DI2" s="8">
        <v>113</v>
      </c>
      <c r="DJ2" s="8">
        <v>114</v>
      </c>
      <c r="DK2" s="8">
        <v>115</v>
      </c>
      <c r="DL2" s="8">
        <v>116</v>
      </c>
      <c r="DM2" s="8">
        <v>117</v>
      </c>
      <c r="DN2" s="8">
        <v>118</v>
      </c>
      <c r="DO2" s="8">
        <v>119</v>
      </c>
      <c r="DP2" s="8">
        <v>120</v>
      </c>
      <c r="DQ2" s="8">
        <v>121</v>
      </c>
      <c r="DR2" s="8">
        <v>122</v>
      </c>
      <c r="DS2" s="8">
        <v>123</v>
      </c>
      <c r="DT2" s="8">
        <v>124</v>
      </c>
      <c r="DU2" s="8">
        <v>125</v>
      </c>
      <c r="DV2" s="8">
        <v>126</v>
      </c>
      <c r="DW2" s="8">
        <v>127</v>
      </c>
      <c r="DX2" s="8">
        <v>128</v>
      </c>
      <c r="DY2" s="8">
        <v>129</v>
      </c>
      <c r="DZ2" s="8">
        <v>130</v>
      </c>
      <c r="EA2" s="8">
        <v>131</v>
      </c>
      <c r="EB2" s="8">
        <v>132</v>
      </c>
      <c r="EC2" s="8">
        <v>133</v>
      </c>
      <c r="ED2" s="8">
        <v>134</v>
      </c>
    </row>
    <row r="3" spans="1:134" s="5" customFormat="1" ht="30" x14ac:dyDescent="0.25">
      <c r="A3" s="16">
        <v>100</v>
      </c>
      <c r="B3" s="11" t="s">
        <v>225</v>
      </c>
      <c r="C3" s="74" t="s">
        <v>227</v>
      </c>
      <c r="D3" s="74" t="s">
        <v>226</v>
      </c>
      <c r="E3" s="12" t="s">
        <v>228</v>
      </c>
      <c r="F3" s="11" t="s">
        <v>97</v>
      </c>
      <c r="G3" s="16">
        <f t="shared" ref="G3:G56" si="0">VLOOKUP(F3,Class,2,FALSE)</f>
        <v>1</v>
      </c>
      <c r="H3" s="23">
        <v>4.1666666666666666E-3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>
        <v>3.530092592592592E-3</v>
      </c>
      <c r="X3" s="23">
        <v>2.8124999999999995E-3</v>
      </c>
      <c r="Y3" s="23"/>
      <c r="Z3" s="23"/>
      <c r="AA3" s="23"/>
      <c r="AB3" s="23"/>
      <c r="AC3" s="23" t="s">
        <v>116</v>
      </c>
      <c r="AD3" s="23"/>
      <c r="AE3" s="23"/>
      <c r="AF3" s="23">
        <v>7.3611111111111108E-3</v>
      </c>
      <c r="AG3" s="23"/>
      <c r="AH3" s="23"/>
      <c r="AI3" s="23"/>
      <c r="AJ3" s="23"/>
      <c r="AK3" s="23">
        <v>9.8842592592592576E-3</v>
      </c>
      <c r="AL3" s="2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>
        <f t="shared" ref="BR3:CA10" si="1">IFERROR(IF(H3="DNS",0,IF(H3="DNF",20,VLOOKUP(_xlfn.RANK.EQ(H3,H$3:H$10,1),Ochk,2,FALSE))),0)</f>
        <v>81</v>
      </c>
      <c r="BS3" s="13">
        <f t="shared" si="1"/>
        <v>0</v>
      </c>
      <c r="BT3" s="13">
        <f t="shared" si="1"/>
        <v>0</v>
      </c>
      <c r="BU3" s="13">
        <f t="shared" si="1"/>
        <v>0</v>
      </c>
      <c r="BV3" s="13">
        <f t="shared" si="1"/>
        <v>0</v>
      </c>
      <c r="BW3" s="13">
        <f t="shared" si="1"/>
        <v>0</v>
      </c>
      <c r="BX3" s="13">
        <f t="shared" si="1"/>
        <v>0</v>
      </c>
      <c r="BY3" s="13">
        <f t="shared" si="1"/>
        <v>0</v>
      </c>
      <c r="BZ3" s="13">
        <f t="shared" si="1"/>
        <v>0</v>
      </c>
      <c r="CA3" s="13">
        <f t="shared" si="1"/>
        <v>0</v>
      </c>
      <c r="CB3" s="13">
        <f t="shared" ref="CB3:CK10" si="2">IFERROR(IF(R3="DNS",0,IF(R3="DNF",20,VLOOKUP(_xlfn.RANK.EQ(R3,R$3:R$10,1),Ochk,2,FALSE))),0)</f>
        <v>0</v>
      </c>
      <c r="CC3" s="13">
        <f t="shared" si="2"/>
        <v>0</v>
      </c>
      <c r="CD3" s="13">
        <f t="shared" si="2"/>
        <v>0</v>
      </c>
      <c r="CE3" s="13">
        <f t="shared" si="2"/>
        <v>0</v>
      </c>
      <c r="CF3" s="13">
        <f t="shared" si="2"/>
        <v>0</v>
      </c>
      <c r="CG3" s="13">
        <f t="shared" si="2"/>
        <v>95</v>
      </c>
      <c r="CH3" s="13">
        <f t="shared" si="2"/>
        <v>100</v>
      </c>
      <c r="CI3" s="13">
        <f t="shared" si="2"/>
        <v>0</v>
      </c>
      <c r="CJ3" s="13">
        <f t="shared" si="2"/>
        <v>0</v>
      </c>
      <c r="CK3" s="13">
        <f t="shared" si="2"/>
        <v>0</v>
      </c>
      <c r="CL3" s="13">
        <f t="shared" ref="CL3:CU11" si="3">IFERROR(IF(AB3="DNS",0,IF(AB3="DNF",20,VLOOKUP(_xlfn.RANK.EQ(AB3,AB$3:AB$10,1),Ochk,2,FALSE))),0)</f>
        <v>0</v>
      </c>
      <c r="CM3" s="13">
        <f t="shared" si="3"/>
        <v>20</v>
      </c>
      <c r="CN3" s="13">
        <f t="shared" si="3"/>
        <v>0</v>
      </c>
      <c r="CO3" s="13">
        <f t="shared" si="3"/>
        <v>0</v>
      </c>
      <c r="CP3" s="13">
        <f t="shared" si="3"/>
        <v>81</v>
      </c>
      <c r="CQ3" s="13">
        <f t="shared" si="3"/>
        <v>0</v>
      </c>
      <c r="CR3" s="13">
        <f t="shared" si="3"/>
        <v>0</v>
      </c>
      <c r="CS3" s="13">
        <f t="shared" si="3"/>
        <v>0</v>
      </c>
      <c r="CT3" s="13">
        <f t="shared" si="3"/>
        <v>0</v>
      </c>
      <c r="CU3" s="13">
        <f t="shared" si="3"/>
        <v>90</v>
      </c>
      <c r="CV3" s="13">
        <f t="shared" ref="CV3:CV10" si="4">IFERROR(IF(AL3="DNS",0,IF(AL3="DNF",20,VLOOKUP(_xlfn.RANK.EQ(AL3,AL$3:AL$10,1),Ochk,2,FALSE))),0)</f>
        <v>0</v>
      </c>
      <c r="CW3" s="13">
        <f t="shared" ref="CW3:CW35" si="5">BR3</f>
        <v>81</v>
      </c>
      <c r="CX3" s="13">
        <f t="shared" ref="CX3:CX35" si="6">BS3-AM3</f>
        <v>0</v>
      </c>
      <c r="CY3" s="13">
        <f t="shared" ref="CY3:CY35" si="7">BT3-AN3</f>
        <v>0</v>
      </c>
      <c r="CZ3" s="13">
        <f t="shared" ref="CZ3:CZ35" si="8">BU3-AO3</f>
        <v>0</v>
      </c>
      <c r="DA3" s="13">
        <f t="shared" ref="DA3:DA35" si="9">BV3-AP3</f>
        <v>0</v>
      </c>
      <c r="DB3" s="13">
        <f t="shared" ref="DB3:DB35" si="10">BW3-AQ3</f>
        <v>0</v>
      </c>
      <c r="DC3" s="13">
        <f t="shared" ref="DC3:DC35" si="11">BX3-AR3</f>
        <v>0</v>
      </c>
      <c r="DD3" s="13">
        <f t="shared" ref="DD3:DD35" si="12">BY3-AS3</f>
        <v>0</v>
      </c>
      <c r="DE3" s="13">
        <f t="shared" ref="DE3:DE35" si="13">BZ3-AT3</f>
        <v>0</v>
      </c>
      <c r="DF3" s="13">
        <f t="shared" ref="DF3:DF35" si="14">CA3-AU3</f>
        <v>0</v>
      </c>
      <c r="DG3" s="13">
        <f t="shared" ref="DG3:DG35" si="15">CB3-AV3</f>
        <v>0</v>
      </c>
      <c r="DH3" s="13">
        <f t="shared" ref="DH3:DH35" si="16">CC3-AW3</f>
        <v>0</v>
      </c>
      <c r="DI3" s="13">
        <f t="shared" ref="DI3:DI35" si="17">CD3-AX3</f>
        <v>0</v>
      </c>
      <c r="DJ3" s="13">
        <f t="shared" ref="DJ3:DJ35" si="18">CE3-AY3</f>
        <v>0</v>
      </c>
      <c r="DK3" s="13">
        <f t="shared" ref="DK3:DK35" si="19">CF3-AZ3</f>
        <v>0</v>
      </c>
      <c r="DL3" s="13">
        <f t="shared" ref="DL3:DL35" si="20">CG3-BA3</f>
        <v>95</v>
      </c>
      <c r="DM3" s="13">
        <f t="shared" ref="DM3:DM35" si="21">CH3-BB3</f>
        <v>100</v>
      </c>
      <c r="DN3" s="13">
        <f t="shared" ref="DN3:DN35" si="22">CI3-BC3</f>
        <v>0</v>
      </c>
      <c r="DO3" s="13">
        <f t="shared" ref="DO3:DO35" si="23">CJ3-BD3</f>
        <v>0</v>
      </c>
      <c r="DP3" s="13">
        <f t="shared" ref="DP3:DP35" si="24">CK3-BE3</f>
        <v>0</v>
      </c>
      <c r="DQ3" s="13">
        <f t="shared" ref="DQ3:DQ35" si="25">CL3-BF3</f>
        <v>0</v>
      </c>
      <c r="DR3" s="13">
        <f t="shared" ref="DR3:DR35" si="26">CM3-BG3</f>
        <v>20</v>
      </c>
      <c r="DS3" s="13">
        <f t="shared" ref="DS3:DS35" si="27">CN3-BH3</f>
        <v>0</v>
      </c>
      <c r="DT3" s="13">
        <f t="shared" ref="DT3:DT35" si="28">CO3-BI3</f>
        <v>0</v>
      </c>
      <c r="DU3" s="13">
        <f t="shared" ref="DU3:DU35" si="29">CP3-BJ3</f>
        <v>81</v>
      </c>
      <c r="DV3" s="13">
        <f t="shared" ref="DV3:DV35" si="30">CQ3-BK3</f>
        <v>0</v>
      </c>
      <c r="DW3" s="13">
        <f t="shared" ref="DW3:DW35" si="31">CR3-BL3</f>
        <v>0</v>
      </c>
      <c r="DX3" s="13">
        <f t="shared" ref="DX3:DX35" si="32">CS3-BM3</f>
        <v>0</v>
      </c>
      <c r="DY3" s="13">
        <f t="shared" ref="DY3:DY35" si="33">CT3-BN3</f>
        <v>0</v>
      </c>
      <c r="DZ3" s="13">
        <f t="shared" ref="DZ3:DZ35" si="34">CU3-BO3</f>
        <v>90</v>
      </c>
      <c r="EA3" s="13">
        <f t="shared" ref="EA3:EA35" si="35">CV3-BP3</f>
        <v>0</v>
      </c>
      <c r="EB3" s="13">
        <f t="shared" ref="EB3:EB35" si="36">IF($BQ3="СХОД","СХОД",SUM($CW3:$EA3))</f>
        <v>467</v>
      </c>
      <c r="EC3" s="17">
        <f t="shared" ref="EC3:EC10" si="37">IFERROR(IF(EB3="СХОД","-",_xlfn.RANK.EQ(EB3,EB$3:EB$10,0)),"")</f>
        <v>8</v>
      </c>
      <c r="ED3" s="17">
        <f>IFERROR(IF(EB3="СХОД","-",_xlfn.RANK.EQ(EB3,EB$3:EB$39,0)),"")</f>
        <v>24</v>
      </c>
    </row>
    <row r="4" spans="1:134" s="5" customFormat="1" ht="30" x14ac:dyDescent="0.25">
      <c r="A4" s="16">
        <v>101</v>
      </c>
      <c r="B4" s="11" t="s">
        <v>229</v>
      </c>
      <c r="C4" s="74" t="s">
        <v>230</v>
      </c>
      <c r="D4" s="11" t="s">
        <v>264</v>
      </c>
      <c r="E4" s="12" t="s">
        <v>228</v>
      </c>
      <c r="F4" s="11" t="s">
        <v>97</v>
      </c>
      <c r="G4" s="16">
        <f t="shared" si="0"/>
        <v>1</v>
      </c>
      <c r="H4" s="23">
        <v>4.8611111111111112E-3</v>
      </c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>
        <v>2.2902777777777778E-3</v>
      </c>
      <c r="W4" s="23">
        <v>4.6990740740740743E-3</v>
      </c>
      <c r="X4" s="23">
        <v>3.6342592592592594E-3</v>
      </c>
      <c r="Y4" s="23">
        <v>3.7268518518518514E-3</v>
      </c>
      <c r="Z4" s="23">
        <v>3.6556712962962958E-3</v>
      </c>
      <c r="AA4" s="23">
        <v>2.2453703703703702E-3</v>
      </c>
      <c r="AB4" s="23">
        <v>4.3981481481481484E-3</v>
      </c>
      <c r="AC4" s="23"/>
      <c r="AD4" s="23">
        <v>4.3540509259259261E-3</v>
      </c>
      <c r="AE4" s="23">
        <v>1.9697916666666666E-3</v>
      </c>
      <c r="AF4" s="23" t="s">
        <v>116</v>
      </c>
      <c r="AG4" s="23">
        <v>8.7847222222222233E-3</v>
      </c>
      <c r="AH4" s="23">
        <v>7.3726851851851861E-3</v>
      </c>
      <c r="AI4" s="23">
        <v>7.789351851851852E-3</v>
      </c>
      <c r="AJ4" s="23">
        <v>6.2037037037037043E-3</v>
      </c>
      <c r="AK4" s="23"/>
      <c r="AL4" s="2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>
        <v>10</v>
      </c>
      <c r="BL4" s="13"/>
      <c r="BM4" s="13"/>
      <c r="BN4" s="13"/>
      <c r="BO4" s="13"/>
      <c r="BP4" s="13"/>
      <c r="BQ4" s="13"/>
      <c r="BR4" s="13">
        <f t="shared" si="1"/>
        <v>78</v>
      </c>
      <c r="BS4" s="13">
        <f t="shared" si="1"/>
        <v>0</v>
      </c>
      <c r="BT4" s="13">
        <f t="shared" si="1"/>
        <v>0</v>
      </c>
      <c r="BU4" s="13">
        <f t="shared" si="1"/>
        <v>0</v>
      </c>
      <c r="BV4" s="13">
        <f t="shared" si="1"/>
        <v>0</v>
      </c>
      <c r="BW4" s="13">
        <f t="shared" si="1"/>
        <v>0</v>
      </c>
      <c r="BX4" s="13">
        <f t="shared" si="1"/>
        <v>0</v>
      </c>
      <c r="BY4" s="13">
        <f t="shared" si="1"/>
        <v>0</v>
      </c>
      <c r="BZ4" s="13">
        <f t="shared" si="1"/>
        <v>0</v>
      </c>
      <c r="CA4" s="13">
        <f t="shared" si="1"/>
        <v>0</v>
      </c>
      <c r="CB4" s="13">
        <f t="shared" si="2"/>
        <v>0</v>
      </c>
      <c r="CC4" s="13">
        <f t="shared" si="2"/>
        <v>0</v>
      </c>
      <c r="CD4" s="13">
        <f t="shared" si="2"/>
        <v>0</v>
      </c>
      <c r="CE4" s="13">
        <f t="shared" si="2"/>
        <v>0</v>
      </c>
      <c r="CF4" s="13">
        <f t="shared" si="2"/>
        <v>95</v>
      </c>
      <c r="CG4" s="13">
        <f t="shared" si="2"/>
        <v>90</v>
      </c>
      <c r="CH4" s="13">
        <f t="shared" si="2"/>
        <v>95</v>
      </c>
      <c r="CI4" s="13">
        <f t="shared" si="2"/>
        <v>84</v>
      </c>
      <c r="CJ4" s="13">
        <f t="shared" si="2"/>
        <v>95</v>
      </c>
      <c r="CK4" s="13">
        <f t="shared" si="2"/>
        <v>100</v>
      </c>
      <c r="CL4" s="13">
        <f t="shared" si="3"/>
        <v>90</v>
      </c>
      <c r="CM4" s="13">
        <f t="shared" si="3"/>
        <v>0</v>
      </c>
      <c r="CN4" s="13">
        <f t="shared" si="3"/>
        <v>100</v>
      </c>
      <c r="CO4" s="13">
        <f t="shared" si="3"/>
        <v>100</v>
      </c>
      <c r="CP4" s="13">
        <f t="shared" si="3"/>
        <v>20</v>
      </c>
      <c r="CQ4" s="13">
        <f t="shared" si="3"/>
        <v>100</v>
      </c>
      <c r="CR4" s="13">
        <f t="shared" si="3"/>
        <v>87</v>
      </c>
      <c r="CS4" s="13">
        <f t="shared" si="3"/>
        <v>90</v>
      </c>
      <c r="CT4" s="13">
        <f t="shared" si="3"/>
        <v>95</v>
      </c>
      <c r="CU4" s="13">
        <f t="shared" si="3"/>
        <v>0</v>
      </c>
      <c r="CV4" s="13">
        <f t="shared" si="4"/>
        <v>0</v>
      </c>
      <c r="CW4" s="13">
        <f t="shared" si="5"/>
        <v>78</v>
      </c>
      <c r="CX4" s="13">
        <f t="shared" si="6"/>
        <v>0</v>
      </c>
      <c r="CY4" s="13">
        <f t="shared" si="7"/>
        <v>0</v>
      </c>
      <c r="CZ4" s="13">
        <f t="shared" si="8"/>
        <v>0</v>
      </c>
      <c r="DA4" s="13">
        <f t="shared" si="9"/>
        <v>0</v>
      </c>
      <c r="DB4" s="13">
        <f t="shared" si="10"/>
        <v>0</v>
      </c>
      <c r="DC4" s="13">
        <f t="shared" si="11"/>
        <v>0</v>
      </c>
      <c r="DD4" s="13">
        <f t="shared" si="12"/>
        <v>0</v>
      </c>
      <c r="DE4" s="13">
        <f t="shared" si="13"/>
        <v>0</v>
      </c>
      <c r="DF4" s="13">
        <f t="shared" si="14"/>
        <v>0</v>
      </c>
      <c r="DG4" s="13">
        <f t="shared" si="15"/>
        <v>0</v>
      </c>
      <c r="DH4" s="13">
        <f t="shared" si="16"/>
        <v>0</v>
      </c>
      <c r="DI4" s="13">
        <f t="shared" si="17"/>
        <v>0</v>
      </c>
      <c r="DJ4" s="13">
        <f t="shared" si="18"/>
        <v>0</v>
      </c>
      <c r="DK4" s="13">
        <f t="shared" si="19"/>
        <v>95</v>
      </c>
      <c r="DL4" s="13">
        <f t="shared" si="20"/>
        <v>90</v>
      </c>
      <c r="DM4" s="13">
        <f t="shared" si="21"/>
        <v>95</v>
      </c>
      <c r="DN4" s="13">
        <f t="shared" si="22"/>
        <v>84</v>
      </c>
      <c r="DO4" s="13">
        <f t="shared" si="23"/>
        <v>95</v>
      </c>
      <c r="DP4" s="13">
        <f t="shared" si="24"/>
        <v>100</v>
      </c>
      <c r="DQ4" s="13">
        <f t="shared" si="25"/>
        <v>90</v>
      </c>
      <c r="DR4" s="13">
        <f t="shared" si="26"/>
        <v>0</v>
      </c>
      <c r="DS4" s="13">
        <f t="shared" si="27"/>
        <v>100</v>
      </c>
      <c r="DT4" s="13">
        <f t="shared" si="28"/>
        <v>100</v>
      </c>
      <c r="DU4" s="13">
        <f t="shared" si="29"/>
        <v>20</v>
      </c>
      <c r="DV4" s="13">
        <f t="shared" si="30"/>
        <v>90</v>
      </c>
      <c r="DW4" s="13">
        <f t="shared" si="31"/>
        <v>87</v>
      </c>
      <c r="DX4" s="13">
        <f t="shared" si="32"/>
        <v>90</v>
      </c>
      <c r="DY4" s="13">
        <f t="shared" si="33"/>
        <v>95</v>
      </c>
      <c r="DZ4" s="13">
        <f t="shared" si="34"/>
        <v>0</v>
      </c>
      <c r="EA4" s="13">
        <f t="shared" si="35"/>
        <v>0</v>
      </c>
      <c r="EB4" s="13">
        <f t="shared" si="36"/>
        <v>1309</v>
      </c>
      <c r="EC4" s="17">
        <f t="shared" si="37"/>
        <v>1</v>
      </c>
      <c r="ED4" s="17">
        <f t="shared" ref="ED4:ED39" si="38">IFERROR(IF(EB4="СХОД","-",_xlfn.RANK.EQ(EB4,EB$3:EB$39,0)),"")</f>
        <v>5</v>
      </c>
    </row>
    <row r="5" spans="1:134" s="5" customFormat="1" ht="30" x14ac:dyDescent="0.25">
      <c r="A5" s="16">
        <v>102</v>
      </c>
      <c r="B5" s="11" t="s">
        <v>231</v>
      </c>
      <c r="C5" s="74"/>
      <c r="D5" s="11" t="s">
        <v>265</v>
      </c>
      <c r="E5" s="12" t="s">
        <v>228</v>
      </c>
      <c r="F5" s="11" t="s">
        <v>97</v>
      </c>
      <c r="G5" s="16">
        <f t="shared" si="0"/>
        <v>1</v>
      </c>
      <c r="H5" s="23">
        <v>2.0833333333333333E-3</v>
      </c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>
        <v>4.6233796296296292E-3</v>
      </c>
      <c r="W5" s="23">
        <v>7.8935185185185185E-3</v>
      </c>
      <c r="X5" s="23">
        <v>6.875E-3</v>
      </c>
      <c r="Y5" s="23">
        <v>2.1296296296296298E-3</v>
      </c>
      <c r="Z5" s="23"/>
      <c r="AA5" s="23" t="s">
        <v>116</v>
      </c>
      <c r="AB5" s="23" t="s">
        <v>116</v>
      </c>
      <c r="AC5" s="23"/>
      <c r="AD5" s="23" t="s">
        <v>116</v>
      </c>
      <c r="AE5" s="23" t="s">
        <v>116</v>
      </c>
      <c r="AF5" s="23">
        <v>4.9251157407407412E-3</v>
      </c>
      <c r="AG5" s="23" t="s">
        <v>116</v>
      </c>
      <c r="AH5" s="23" t="s">
        <v>116</v>
      </c>
      <c r="AI5" s="23" t="s">
        <v>116</v>
      </c>
      <c r="AJ5" s="23" t="s">
        <v>116</v>
      </c>
      <c r="AK5" s="23" t="s">
        <v>116</v>
      </c>
      <c r="AL5" s="2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>
        <v>30</v>
      </c>
      <c r="BK5" s="13"/>
      <c r="BL5" s="13"/>
      <c r="BM5" s="13"/>
      <c r="BN5" s="13"/>
      <c r="BO5" s="13"/>
      <c r="BP5" s="13"/>
      <c r="BQ5" s="13"/>
      <c r="BR5" s="13">
        <f t="shared" si="1"/>
        <v>90</v>
      </c>
      <c r="BS5" s="13">
        <f t="shared" si="1"/>
        <v>0</v>
      </c>
      <c r="BT5" s="13">
        <f t="shared" si="1"/>
        <v>0</v>
      </c>
      <c r="BU5" s="13">
        <f t="shared" si="1"/>
        <v>0</v>
      </c>
      <c r="BV5" s="13">
        <f t="shared" si="1"/>
        <v>0</v>
      </c>
      <c r="BW5" s="13">
        <f t="shared" si="1"/>
        <v>0</v>
      </c>
      <c r="BX5" s="13">
        <f t="shared" si="1"/>
        <v>0</v>
      </c>
      <c r="BY5" s="13">
        <f t="shared" si="1"/>
        <v>0</v>
      </c>
      <c r="BZ5" s="13">
        <f t="shared" si="1"/>
        <v>0</v>
      </c>
      <c r="CA5" s="13">
        <f t="shared" si="1"/>
        <v>0</v>
      </c>
      <c r="CB5" s="13">
        <f t="shared" si="2"/>
        <v>0</v>
      </c>
      <c r="CC5" s="13">
        <f t="shared" si="2"/>
        <v>0</v>
      </c>
      <c r="CD5" s="13">
        <f t="shared" si="2"/>
        <v>0</v>
      </c>
      <c r="CE5" s="13">
        <f t="shared" si="2"/>
        <v>0</v>
      </c>
      <c r="CF5" s="13">
        <f t="shared" si="2"/>
        <v>84</v>
      </c>
      <c r="CG5" s="13">
        <f t="shared" si="2"/>
        <v>81</v>
      </c>
      <c r="CH5" s="13">
        <f t="shared" si="2"/>
        <v>87</v>
      </c>
      <c r="CI5" s="13">
        <f t="shared" si="2"/>
        <v>90</v>
      </c>
      <c r="CJ5" s="13">
        <f t="shared" si="2"/>
        <v>0</v>
      </c>
      <c r="CK5" s="13">
        <f t="shared" si="2"/>
        <v>20</v>
      </c>
      <c r="CL5" s="13">
        <f t="shared" si="3"/>
        <v>20</v>
      </c>
      <c r="CM5" s="13">
        <f t="shared" si="3"/>
        <v>0</v>
      </c>
      <c r="CN5" s="13">
        <f t="shared" si="3"/>
        <v>20</v>
      </c>
      <c r="CO5" s="13">
        <f t="shared" si="3"/>
        <v>20</v>
      </c>
      <c r="CP5" s="13">
        <f t="shared" si="3"/>
        <v>84</v>
      </c>
      <c r="CQ5" s="13">
        <f t="shared" si="3"/>
        <v>20</v>
      </c>
      <c r="CR5" s="13">
        <f t="shared" si="3"/>
        <v>20</v>
      </c>
      <c r="CS5" s="13">
        <f t="shared" si="3"/>
        <v>20</v>
      </c>
      <c r="CT5" s="13">
        <f t="shared" si="3"/>
        <v>20</v>
      </c>
      <c r="CU5" s="13">
        <f t="shared" si="3"/>
        <v>20</v>
      </c>
      <c r="CV5" s="13">
        <f t="shared" si="4"/>
        <v>0</v>
      </c>
      <c r="CW5" s="13">
        <f t="shared" si="5"/>
        <v>90</v>
      </c>
      <c r="CX5" s="13">
        <f t="shared" si="6"/>
        <v>0</v>
      </c>
      <c r="CY5" s="13">
        <f t="shared" si="7"/>
        <v>0</v>
      </c>
      <c r="CZ5" s="13">
        <f t="shared" si="8"/>
        <v>0</v>
      </c>
      <c r="DA5" s="13">
        <f t="shared" si="9"/>
        <v>0</v>
      </c>
      <c r="DB5" s="13">
        <f t="shared" si="10"/>
        <v>0</v>
      </c>
      <c r="DC5" s="13">
        <f t="shared" si="11"/>
        <v>0</v>
      </c>
      <c r="DD5" s="13">
        <f t="shared" si="12"/>
        <v>0</v>
      </c>
      <c r="DE5" s="13">
        <f t="shared" si="13"/>
        <v>0</v>
      </c>
      <c r="DF5" s="13">
        <f t="shared" si="14"/>
        <v>0</v>
      </c>
      <c r="DG5" s="13">
        <f t="shared" si="15"/>
        <v>0</v>
      </c>
      <c r="DH5" s="13">
        <f t="shared" si="16"/>
        <v>0</v>
      </c>
      <c r="DI5" s="13">
        <f t="shared" si="17"/>
        <v>0</v>
      </c>
      <c r="DJ5" s="13">
        <f t="shared" si="18"/>
        <v>0</v>
      </c>
      <c r="DK5" s="13">
        <f t="shared" si="19"/>
        <v>84</v>
      </c>
      <c r="DL5" s="13">
        <f t="shared" si="20"/>
        <v>81</v>
      </c>
      <c r="DM5" s="13">
        <f t="shared" si="21"/>
        <v>87</v>
      </c>
      <c r="DN5" s="13">
        <f t="shared" si="22"/>
        <v>90</v>
      </c>
      <c r="DO5" s="13">
        <f t="shared" si="23"/>
        <v>0</v>
      </c>
      <c r="DP5" s="13">
        <f t="shared" si="24"/>
        <v>20</v>
      </c>
      <c r="DQ5" s="13">
        <f t="shared" si="25"/>
        <v>20</v>
      </c>
      <c r="DR5" s="13">
        <f t="shared" si="26"/>
        <v>0</v>
      </c>
      <c r="DS5" s="13">
        <f t="shared" si="27"/>
        <v>20</v>
      </c>
      <c r="DT5" s="13">
        <f t="shared" si="28"/>
        <v>20</v>
      </c>
      <c r="DU5" s="13">
        <f t="shared" si="29"/>
        <v>54</v>
      </c>
      <c r="DV5" s="13">
        <f t="shared" si="30"/>
        <v>20</v>
      </c>
      <c r="DW5" s="13">
        <f t="shared" si="31"/>
        <v>20</v>
      </c>
      <c r="DX5" s="13">
        <f t="shared" si="32"/>
        <v>20</v>
      </c>
      <c r="DY5" s="13">
        <f t="shared" si="33"/>
        <v>20</v>
      </c>
      <c r="DZ5" s="13">
        <f t="shared" si="34"/>
        <v>20</v>
      </c>
      <c r="EA5" s="13">
        <f t="shared" si="35"/>
        <v>0</v>
      </c>
      <c r="EB5" s="13">
        <f t="shared" si="36"/>
        <v>666</v>
      </c>
      <c r="EC5" s="17">
        <f t="shared" si="37"/>
        <v>6</v>
      </c>
      <c r="ED5" s="17">
        <f t="shared" si="38"/>
        <v>19</v>
      </c>
    </row>
    <row r="6" spans="1:134" s="5" customFormat="1" ht="30" x14ac:dyDescent="0.25">
      <c r="A6" s="16">
        <v>104</v>
      </c>
      <c r="B6" s="11" t="s">
        <v>232</v>
      </c>
      <c r="C6" s="74"/>
      <c r="D6" s="11" t="s">
        <v>263</v>
      </c>
      <c r="E6" s="12" t="s">
        <v>228</v>
      </c>
      <c r="F6" s="11" t="s">
        <v>97</v>
      </c>
      <c r="G6" s="16">
        <f t="shared" si="0"/>
        <v>1</v>
      </c>
      <c r="H6" s="23">
        <v>5.5555555555555558E-3</v>
      </c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>
        <v>2.0138888888888888E-3</v>
      </c>
      <c r="W6" s="23" t="s">
        <v>116</v>
      </c>
      <c r="X6" s="23" t="s">
        <v>116</v>
      </c>
      <c r="Y6" s="23">
        <v>2.5115740740740741E-3</v>
      </c>
      <c r="Z6" s="23" t="s">
        <v>116</v>
      </c>
      <c r="AA6" s="23">
        <v>4.8032407407407407E-3</v>
      </c>
      <c r="AB6" s="23">
        <v>4.8842592592592592E-3</v>
      </c>
      <c r="AC6" s="23">
        <v>3.5611111111111108E-3</v>
      </c>
      <c r="AD6" s="23" t="s">
        <v>116</v>
      </c>
      <c r="AE6" s="23">
        <v>2.3152777777777776E-3</v>
      </c>
      <c r="AF6" s="23">
        <v>3.0616898148148144E-3</v>
      </c>
      <c r="AG6" s="23">
        <v>9.2708333333333341E-3</v>
      </c>
      <c r="AH6" s="23" t="s">
        <v>116</v>
      </c>
      <c r="AI6" s="23" t="s">
        <v>116</v>
      </c>
      <c r="AJ6" s="23" t="s">
        <v>116</v>
      </c>
      <c r="AK6" s="23" t="s">
        <v>116</v>
      </c>
      <c r="AL6" s="2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>
        <v>60</v>
      </c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>
        <v>10</v>
      </c>
      <c r="BL6" s="13"/>
      <c r="BM6" s="13"/>
      <c r="BN6" s="13"/>
      <c r="BO6" s="13"/>
      <c r="BP6" s="13"/>
      <c r="BQ6" s="13"/>
      <c r="BR6" s="13">
        <f t="shared" si="1"/>
        <v>75</v>
      </c>
      <c r="BS6" s="13">
        <f t="shared" si="1"/>
        <v>0</v>
      </c>
      <c r="BT6" s="13">
        <f t="shared" si="1"/>
        <v>0</v>
      </c>
      <c r="BU6" s="13">
        <f t="shared" si="1"/>
        <v>0</v>
      </c>
      <c r="BV6" s="13">
        <f t="shared" si="1"/>
        <v>0</v>
      </c>
      <c r="BW6" s="13">
        <f t="shared" si="1"/>
        <v>0</v>
      </c>
      <c r="BX6" s="13">
        <f t="shared" si="1"/>
        <v>0</v>
      </c>
      <c r="BY6" s="13">
        <f t="shared" si="1"/>
        <v>0</v>
      </c>
      <c r="BZ6" s="13">
        <f t="shared" si="1"/>
        <v>0</v>
      </c>
      <c r="CA6" s="13">
        <f t="shared" si="1"/>
        <v>0</v>
      </c>
      <c r="CB6" s="13">
        <f t="shared" si="2"/>
        <v>0</v>
      </c>
      <c r="CC6" s="13">
        <f t="shared" si="2"/>
        <v>0</v>
      </c>
      <c r="CD6" s="13">
        <f t="shared" si="2"/>
        <v>0</v>
      </c>
      <c r="CE6" s="13">
        <f t="shared" si="2"/>
        <v>0</v>
      </c>
      <c r="CF6" s="13">
        <f t="shared" si="2"/>
        <v>100</v>
      </c>
      <c r="CG6" s="13">
        <f t="shared" si="2"/>
        <v>20</v>
      </c>
      <c r="CH6" s="13">
        <f t="shared" si="2"/>
        <v>20</v>
      </c>
      <c r="CI6" s="13">
        <f t="shared" si="2"/>
        <v>87</v>
      </c>
      <c r="CJ6" s="13">
        <f t="shared" si="2"/>
        <v>20</v>
      </c>
      <c r="CK6" s="13">
        <f t="shared" si="2"/>
        <v>87</v>
      </c>
      <c r="CL6" s="13">
        <f t="shared" si="3"/>
        <v>87</v>
      </c>
      <c r="CM6" s="13">
        <f t="shared" si="3"/>
        <v>100</v>
      </c>
      <c r="CN6" s="13">
        <f t="shared" si="3"/>
        <v>20</v>
      </c>
      <c r="CO6" s="13">
        <f t="shared" si="3"/>
        <v>90</v>
      </c>
      <c r="CP6" s="13">
        <f t="shared" si="3"/>
        <v>87</v>
      </c>
      <c r="CQ6" s="13">
        <f t="shared" si="3"/>
        <v>95</v>
      </c>
      <c r="CR6" s="13">
        <f t="shared" si="3"/>
        <v>20</v>
      </c>
      <c r="CS6" s="13">
        <f t="shared" si="3"/>
        <v>20</v>
      </c>
      <c r="CT6" s="13">
        <f t="shared" si="3"/>
        <v>20</v>
      </c>
      <c r="CU6" s="13">
        <f t="shared" si="3"/>
        <v>20</v>
      </c>
      <c r="CV6" s="13">
        <f t="shared" si="4"/>
        <v>0</v>
      </c>
      <c r="CW6" s="13">
        <f t="shared" si="5"/>
        <v>75</v>
      </c>
      <c r="CX6" s="13">
        <f t="shared" si="6"/>
        <v>0</v>
      </c>
      <c r="CY6" s="13">
        <f t="shared" si="7"/>
        <v>0</v>
      </c>
      <c r="CZ6" s="13">
        <f t="shared" si="8"/>
        <v>0</v>
      </c>
      <c r="DA6" s="13">
        <f t="shared" si="9"/>
        <v>0</v>
      </c>
      <c r="DB6" s="13">
        <f t="shared" si="10"/>
        <v>0</v>
      </c>
      <c r="DC6" s="13">
        <f t="shared" si="11"/>
        <v>0</v>
      </c>
      <c r="DD6" s="13">
        <f t="shared" si="12"/>
        <v>0</v>
      </c>
      <c r="DE6" s="13">
        <f t="shared" si="13"/>
        <v>0</v>
      </c>
      <c r="DF6" s="13">
        <f t="shared" si="14"/>
        <v>0</v>
      </c>
      <c r="DG6" s="13">
        <f t="shared" si="15"/>
        <v>0</v>
      </c>
      <c r="DH6" s="13">
        <f t="shared" si="16"/>
        <v>0</v>
      </c>
      <c r="DI6" s="13">
        <f t="shared" si="17"/>
        <v>0</v>
      </c>
      <c r="DJ6" s="13">
        <f t="shared" si="18"/>
        <v>0</v>
      </c>
      <c r="DK6" s="13">
        <f t="shared" si="19"/>
        <v>40</v>
      </c>
      <c r="DL6" s="13">
        <f t="shared" si="20"/>
        <v>20</v>
      </c>
      <c r="DM6" s="13">
        <f t="shared" si="21"/>
        <v>20</v>
      </c>
      <c r="DN6" s="13">
        <f t="shared" si="22"/>
        <v>87</v>
      </c>
      <c r="DO6" s="13">
        <f t="shared" si="23"/>
        <v>20</v>
      </c>
      <c r="DP6" s="13">
        <f t="shared" si="24"/>
        <v>87</v>
      </c>
      <c r="DQ6" s="13">
        <f t="shared" si="25"/>
        <v>87</v>
      </c>
      <c r="DR6" s="13">
        <f t="shared" si="26"/>
        <v>100</v>
      </c>
      <c r="DS6" s="13">
        <f t="shared" si="27"/>
        <v>20</v>
      </c>
      <c r="DT6" s="13">
        <f t="shared" si="28"/>
        <v>90</v>
      </c>
      <c r="DU6" s="13">
        <f t="shared" si="29"/>
        <v>87</v>
      </c>
      <c r="DV6" s="13">
        <f t="shared" si="30"/>
        <v>85</v>
      </c>
      <c r="DW6" s="13">
        <f t="shared" si="31"/>
        <v>20</v>
      </c>
      <c r="DX6" s="13">
        <f t="shared" si="32"/>
        <v>20</v>
      </c>
      <c r="DY6" s="13">
        <f t="shared" si="33"/>
        <v>20</v>
      </c>
      <c r="DZ6" s="13">
        <f t="shared" si="34"/>
        <v>20</v>
      </c>
      <c r="EA6" s="13">
        <f t="shared" si="35"/>
        <v>0</v>
      </c>
      <c r="EB6" s="13">
        <f t="shared" si="36"/>
        <v>898</v>
      </c>
      <c r="EC6" s="17">
        <f t="shared" si="37"/>
        <v>4</v>
      </c>
      <c r="ED6" s="17">
        <f t="shared" si="38"/>
        <v>12</v>
      </c>
    </row>
    <row r="7" spans="1:134" s="5" customFormat="1" ht="30" x14ac:dyDescent="0.25">
      <c r="A7" s="16">
        <v>105</v>
      </c>
      <c r="B7" s="11" t="s">
        <v>233</v>
      </c>
      <c r="C7" s="74" t="s">
        <v>235</v>
      </c>
      <c r="D7" s="11" t="s">
        <v>234</v>
      </c>
      <c r="E7" s="12" t="s">
        <v>228</v>
      </c>
      <c r="F7" s="11" t="s">
        <v>97</v>
      </c>
      <c r="G7" s="16">
        <f t="shared" si="0"/>
        <v>1</v>
      </c>
      <c r="H7" s="23">
        <v>2.7777777777777779E-3</v>
      </c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 t="s">
        <v>116</v>
      </c>
      <c r="W7" s="23" t="s">
        <v>116</v>
      </c>
      <c r="X7" s="23"/>
      <c r="Y7" s="23">
        <v>4.31712962962963E-3</v>
      </c>
      <c r="Z7" s="23" t="s">
        <v>116</v>
      </c>
      <c r="AA7" s="23">
        <v>3.4375E-3</v>
      </c>
      <c r="AB7" s="23">
        <v>4.1666666666666666E-3</v>
      </c>
      <c r="AC7" s="23">
        <v>7.702199074074074E-3</v>
      </c>
      <c r="AD7" s="23">
        <v>8.8914351851851845E-3</v>
      </c>
      <c r="AE7" s="23">
        <v>2.9364583333333339E-3</v>
      </c>
      <c r="AF7" s="23">
        <v>2.673611111111111E-3</v>
      </c>
      <c r="AG7" s="23" t="s">
        <v>116</v>
      </c>
      <c r="AH7" s="23">
        <v>3.3680555555555551E-3</v>
      </c>
      <c r="AI7" s="23">
        <v>6.9097222222222225E-3</v>
      </c>
      <c r="AJ7" s="23" t="s">
        <v>116</v>
      </c>
      <c r="AK7" s="23" t="s">
        <v>116</v>
      </c>
      <c r="AL7" s="2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>
        <v>20</v>
      </c>
      <c r="BI7" s="13"/>
      <c r="BJ7" s="13"/>
      <c r="BK7" s="13"/>
      <c r="BL7" s="13"/>
      <c r="BM7" s="13"/>
      <c r="BN7" s="13"/>
      <c r="BO7" s="13"/>
      <c r="BP7" s="13"/>
      <c r="BQ7" s="13"/>
      <c r="BR7" s="13">
        <f t="shared" si="1"/>
        <v>87</v>
      </c>
      <c r="BS7" s="13">
        <f t="shared" si="1"/>
        <v>0</v>
      </c>
      <c r="BT7" s="13">
        <f t="shared" si="1"/>
        <v>0</v>
      </c>
      <c r="BU7" s="13">
        <f t="shared" si="1"/>
        <v>0</v>
      </c>
      <c r="BV7" s="13">
        <f t="shared" si="1"/>
        <v>0</v>
      </c>
      <c r="BW7" s="13">
        <f t="shared" si="1"/>
        <v>0</v>
      </c>
      <c r="BX7" s="13">
        <f t="shared" si="1"/>
        <v>0</v>
      </c>
      <c r="BY7" s="13">
        <f t="shared" si="1"/>
        <v>0</v>
      </c>
      <c r="BZ7" s="13">
        <f t="shared" si="1"/>
        <v>0</v>
      </c>
      <c r="CA7" s="13">
        <f t="shared" si="1"/>
        <v>0</v>
      </c>
      <c r="CB7" s="13">
        <f t="shared" si="2"/>
        <v>0</v>
      </c>
      <c r="CC7" s="13">
        <f t="shared" si="2"/>
        <v>0</v>
      </c>
      <c r="CD7" s="13">
        <f t="shared" si="2"/>
        <v>0</v>
      </c>
      <c r="CE7" s="13">
        <f t="shared" si="2"/>
        <v>0</v>
      </c>
      <c r="CF7" s="13">
        <f t="shared" si="2"/>
        <v>20</v>
      </c>
      <c r="CG7" s="13">
        <f t="shared" si="2"/>
        <v>20</v>
      </c>
      <c r="CH7" s="13">
        <f t="shared" si="2"/>
        <v>0</v>
      </c>
      <c r="CI7" s="13">
        <f t="shared" si="2"/>
        <v>81</v>
      </c>
      <c r="CJ7" s="13">
        <f t="shared" si="2"/>
        <v>20</v>
      </c>
      <c r="CK7" s="13">
        <f t="shared" si="2"/>
        <v>90</v>
      </c>
      <c r="CL7" s="13">
        <f t="shared" si="3"/>
        <v>95</v>
      </c>
      <c r="CM7" s="13">
        <f t="shared" si="3"/>
        <v>90</v>
      </c>
      <c r="CN7" s="13">
        <f t="shared" si="3"/>
        <v>95</v>
      </c>
      <c r="CO7" s="13">
        <f t="shared" si="3"/>
        <v>87</v>
      </c>
      <c r="CP7" s="13">
        <f t="shared" si="3"/>
        <v>95</v>
      </c>
      <c r="CQ7" s="13">
        <f t="shared" si="3"/>
        <v>20</v>
      </c>
      <c r="CR7" s="13">
        <f t="shared" si="3"/>
        <v>95</v>
      </c>
      <c r="CS7" s="13">
        <f t="shared" si="3"/>
        <v>95</v>
      </c>
      <c r="CT7" s="13">
        <f t="shared" si="3"/>
        <v>20</v>
      </c>
      <c r="CU7" s="13">
        <f t="shared" si="3"/>
        <v>20</v>
      </c>
      <c r="CV7" s="13">
        <f t="shared" si="4"/>
        <v>0</v>
      </c>
      <c r="CW7" s="13">
        <f t="shared" si="5"/>
        <v>87</v>
      </c>
      <c r="CX7" s="13">
        <f t="shared" si="6"/>
        <v>0</v>
      </c>
      <c r="CY7" s="13">
        <f t="shared" si="7"/>
        <v>0</v>
      </c>
      <c r="CZ7" s="13">
        <f t="shared" si="8"/>
        <v>0</v>
      </c>
      <c r="DA7" s="13">
        <f t="shared" si="9"/>
        <v>0</v>
      </c>
      <c r="DB7" s="13">
        <f t="shared" si="10"/>
        <v>0</v>
      </c>
      <c r="DC7" s="13">
        <f t="shared" si="11"/>
        <v>0</v>
      </c>
      <c r="DD7" s="13">
        <f t="shared" si="12"/>
        <v>0</v>
      </c>
      <c r="DE7" s="13">
        <f t="shared" si="13"/>
        <v>0</v>
      </c>
      <c r="DF7" s="13">
        <f t="shared" si="14"/>
        <v>0</v>
      </c>
      <c r="DG7" s="13">
        <f t="shared" si="15"/>
        <v>0</v>
      </c>
      <c r="DH7" s="13">
        <f t="shared" si="16"/>
        <v>0</v>
      </c>
      <c r="DI7" s="13">
        <f t="shared" si="17"/>
        <v>0</v>
      </c>
      <c r="DJ7" s="13">
        <f t="shared" si="18"/>
        <v>0</v>
      </c>
      <c r="DK7" s="13">
        <f t="shared" si="19"/>
        <v>20</v>
      </c>
      <c r="DL7" s="13">
        <f t="shared" si="20"/>
        <v>20</v>
      </c>
      <c r="DM7" s="13">
        <f t="shared" si="21"/>
        <v>0</v>
      </c>
      <c r="DN7" s="13">
        <f t="shared" si="22"/>
        <v>81</v>
      </c>
      <c r="DO7" s="13">
        <f t="shared" si="23"/>
        <v>20</v>
      </c>
      <c r="DP7" s="13">
        <f t="shared" si="24"/>
        <v>90</v>
      </c>
      <c r="DQ7" s="13">
        <f t="shared" si="25"/>
        <v>95</v>
      </c>
      <c r="DR7" s="13">
        <f t="shared" si="26"/>
        <v>90</v>
      </c>
      <c r="DS7" s="13">
        <f t="shared" si="27"/>
        <v>75</v>
      </c>
      <c r="DT7" s="13">
        <f t="shared" si="28"/>
        <v>87</v>
      </c>
      <c r="DU7" s="13">
        <f t="shared" si="29"/>
        <v>95</v>
      </c>
      <c r="DV7" s="13">
        <f t="shared" si="30"/>
        <v>20</v>
      </c>
      <c r="DW7" s="13">
        <f t="shared" si="31"/>
        <v>95</v>
      </c>
      <c r="DX7" s="13">
        <f t="shared" si="32"/>
        <v>95</v>
      </c>
      <c r="DY7" s="13">
        <f t="shared" si="33"/>
        <v>20</v>
      </c>
      <c r="DZ7" s="13">
        <f t="shared" si="34"/>
        <v>20</v>
      </c>
      <c r="EA7" s="13">
        <f t="shared" si="35"/>
        <v>0</v>
      </c>
      <c r="EB7" s="13">
        <f t="shared" si="36"/>
        <v>1010</v>
      </c>
      <c r="EC7" s="17">
        <f t="shared" si="37"/>
        <v>3</v>
      </c>
      <c r="ED7" s="17">
        <f t="shared" si="38"/>
        <v>10</v>
      </c>
    </row>
    <row r="8" spans="1:134" s="5" customFormat="1" ht="30" x14ac:dyDescent="0.25">
      <c r="A8" s="16">
        <v>107</v>
      </c>
      <c r="B8" s="11" t="s">
        <v>236</v>
      </c>
      <c r="C8" s="74" t="s">
        <v>237</v>
      </c>
      <c r="D8" s="11" t="s">
        <v>263</v>
      </c>
      <c r="E8" s="12" t="s">
        <v>228</v>
      </c>
      <c r="F8" s="11" t="s">
        <v>97</v>
      </c>
      <c r="G8" s="16">
        <f t="shared" si="0"/>
        <v>1</v>
      </c>
      <c r="H8" s="23">
        <v>3.472222222222222E-3</v>
      </c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>
        <v>2.8399305555555556E-3</v>
      </c>
      <c r="W8" s="23">
        <v>6.238425925925925E-3</v>
      </c>
      <c r="X8" s="23">
        <v>3.9120370370370368E-3</v>
      </c>
      <c r="Y8" s="23">
        <v>1.712962962962963E-3</v>
      </c>
      <c r="Z8" s="23">
        <v>5.4261574074074073E-3</v>
      </c>
      <c r="AA8" s="23">
        <v>2.9629629629629628E-3</v>
      </c>
      <c r="AB8" s="23">
        <v>2.3611111111111111E-3</v>
      </c>
      <c r="AC8" s="23"/>
      <c r="AD8" s="23" t="s">
        <v>116</v>
      </c>
      <c r="AE8" s="23">
        <v>2.0836805555555556E-3</v>
      </c>
      <c r="AF8" s="23">
        <v>1.4069444444444442E-3</v>
      </c>
      <c r="AG8" s="23">
        <v>1.0208333333333333E-2</v>
      </c>
      <c r="AH8" s="23">
        <v>5.6828703703703702E-3</v>
      </c>
      <c r="AI8" s="23">
        <v>5.7638888888888887E-3</v>
      </c>
      <c r="AJ8" s="23" t="s">
        <v>116</v>
      </c>
      <c r="AK8" s="23">
        <v>1.2731481481481483E-3</v>
      </c>
      <c r="AL8" s="2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>
        <v>40</v>
      </c>
      <c r="BL8" s="13"/>
      <c r="BM8" s="13"/>
      <c r="BN8" s="13"/>
      <c r="BO8" s="13"/>
      <c r="BP8" s="13"/>
      <c r="BQ8" s="13"/>
      <c r="BR8" s="13">
        <f t="shared" si="1"/>
        <v>84</v>
      </c>
      <c r="BS8" s="13">
        <f t="shared" si="1"/>
        <v>0</v>
      </c>
      <c r="BT8" s="13">
        <f t="shared" si="1"/>
        <v>0</v>
      </c>
      <c r="BU8" s="13">
        <f t="shared" si="1"/>
        <v>0</v>
      </c>
      <c r="BV8" s="13">
        <f t="shared" si="1"/>
        <v>0</v>
      </c>
      <c r="BW8" s="13">
        <f t="shared" si="1"/>
        <v>0</v>
      </c>
      <c r="BX8" s="13">
        <f t="shared" si="1"/>
        <v>0</v>
      </c>
      <c r="BY8" s="13">
        <f t="shared" si="1"/>
        <v>0</v>
      </c>
      <c r="BZ8" s="13">
        <f t="shared" si="1"/>
        <v>0</v>
      </c>
      <c r="CA8" s="13">
        <f t="shared" si="1"/>
        <v>0</v>
      </c>
      <c r="CB8" s="13">
        <f t="shared" si="2"/>
        <v>0</v>
      </c>
      <c r="CC8" s="13">
        <f t="shared" si="2"/>
        <v>0</v>
      </c>
      <c r="CD8" s="13">
        <f t="shared" si="2"/>
        <v>0</v>
      </c>
      <c r="CE8" s="13">
        <f t="shared" si="2"/>
        <v>0</v>
      </c>
      <c r="CF8" s="13">
        <f t="shared" si="2"/>
        <v>87</v>
      </c>
      <c r="CG8" s="13">
        <f t="shared" si="2"/>
        <v>84</v>
      </c>
      <c r="CH8" s="13">
        <f t="shared" si="2"/>
        <v>90</v>
      </c>
      <c r="CI8" s="13">
        <f t="shared" si="2"/>
        <v>95</v>
      </c>
      <c r="CJ8" s="13">
        <f t="shared" si="2"/>
        <v>90</v>
      </c>
      <c r="CK8" s="13">
        <f t="shared" si="2"/>
        <v>95</v>
      </c>
      <c r="CL8" s="13">
        <f t="shared" si="3"/>
        <v>100</v>
      </c>
      <c r="CM8" s="13">
        <f t="shared" si="3"/>
        <v>0</v>
      </c>
      <c r="CN8" s="13">
        <f t="shared" si="3"/>
        <v>20</v>
      </c>
      <c r="CO8" s="13">
        <f t="shared" si="3"/>
        <v>95</v>
      </c>
      <c r="CP8" s="13">
        <f t="shared" si="3"/>
        <v>100</v>
      </c>
      <c r="CQ8" s="13">
        <f t="shared" si="3"/>
        <v>90</v>
      </c>
      <c r="CR8" s="13">
        <f t="shared" si="3"/>
        <v>90</v>
      </c>
      <c r="CS8" s="13">
        <f t="shared" si="3"/>
        <v>100</v>
      </c>
      <c r="CT8" s="13">
        <f t="shared" si="3"/>
        <v>20</v>
      </c>
      <c r="CU8" s="13">
        <f t="shared" si="3"/>
        <v>100</v>
      </c>
      <c r="CV8" s="13">
        <f t="shared" si="4"/>
        <v>0</v>
      </c>
      <c r="CW8" s="13">
        <f t="shared" si="5"/>
        <v>84</v>
      </c>
      <c r="CX8" s="13">
        <f t="shared" si="6"/>
        <v>0</v>
      </c>
      <c r="CY8" s="13">
        <f t="shared" si="7"/>
        <v>0</v>
      </c>
      <c r="CZ8" s="13">
        <f t="shared" si="8"/>
        <v>0</v>
      </c>
      <c r="DA8" s="13">
        <f t="shared" si="9"/>
        <v>0</v>
      </c>
      <c r="DB8" s="13">
        <f t="shared" si="10"/>
        <v>0</v>
      </c>
      <c r="DC8" s="13">
        <f t="shared" si="11"/>
        <v>0</v>
      </c>
      <c r="DD8" s="13">
        <f t="shared" si="12"/>
        <v>0</v>
      </c>
      <c r="DE8" s="13">
        <f t="shared" si="13"/>
        <v>0</v>
      </c>
      <c r="DF8" s="13">
        <f t="shared" si="14"/>
        <v>0</v>
      </c>
      <c r="DG8" s="13">
        <f t="shared" si="15"/>
        <v>0</v>
      </c>
      <c r="DH8" s="13">
        <f t="shared" si="16"/>
        <v>0</v>
      </c>
      <c r="DI8" s="13">
        <f t="shared" si="17"/>
        <v>0</v>
      </c>
      <c r="DJ8" s="13">
        <f t="shared" si="18"/>
        <v>0</v>
      </c>
      <c r="DK8" s="13">
        <f t="shared" si="19"/>
        <v>87</v>
      </c>
      <c r="DL8" s="13">
        <f t="shared" si="20"/>
        <v>84</v>
      </c>
      <c r="DM8" s="13">
        <f t="shared" si="21"/>
        <v>90</v>
      </c>
      <c r="DN8" s="13">
        <f t="shared" si="22"/>
        <v>95</v>
      </c>
      <c r="DO8" s="13">
        <f t="shared" si="23"/>
        <v>90</v>
      </c>
      <c r="DP8" s="13">
        <f t="shared" si="24"/>
        <v>95</v>
      </c>
      <c r="DQ8" s="13">
        <f t="shared" si="25"/>
        <v>100</v>
      </c>
      <c r="DR8" s="13">
        <f t="shared" si="26"/>
        <v>0</v>
      </c>
      <c r="DS8" s="13">
        <f t="shared" si="27"/>
        <v>20</v>
      </c>
      <c r="DT8" s="13">
        <f t="shared" si="28"/>
        <v>95</v>
      </c>
      <c r="DU8" s="13">
        <f t="shared" si="29"/>
        <v>100</v>
      </c>
      <c r="DV8" s="13">
        <f t="shared" si="30"/>
        <v>50</v>
      </c>
      <c r="DW8" s="13">
        <f t="shared" si="31"/>
        <v>90</v>
      </c>
      <c r="DX8" s="13">
        <f t="shared" si="32"/>
        <v>100</v>
      </c>
      <c r="DY8" s="13">
        <f t="shared" si="33"/>
        <v>20</v>
      </c>
      <c r="DZ8" s="13">
        <f t="shared" si="34"/>
        <v>100</v>
      </c>
      <c r="EA8" s="13">
        <f t="shared" si="35"/>
        <v>0</v>
      </c>
      <c r="EB8" s="13">
        <f t="shared" si="36"/>
        <v>1300</v>
      </c>
      <c r="EC8" s="17">
        <f t="shared" si="37"/>
        <v>2</v>
      </c>
      <c r="ED8" s="17">
        <f t="shared" si="38"/>
        <v>7</v>
      </c>
    </row>
    <row r="9" spans="1:134" s="5" customFormat="1" ht="30" x14ac:dyDescent="0.25">
      <c r="A9" s="16">
        <v>108</v>
      </c>
      <c r="B9" s="11" t="s">
        <v>238</v>
      </c>
      <c r="C9" s="74" t="s">
        <v>239</v>
      </c>
      <c r="D9" s="11" t="s">
        <v>240</v>
      </c>
      <c r="E9" s="12" t="s">
        <v>228</v>
      </c>
      <c r="F9" s="11" t="s">
        <v>97</v>
      </c>
      <c r="G9" s="16">
        <f t="shared" si="0"/>
        <v>1</v>
      </c>
      <c r="H9" s="23">
        <v>1.3888888888888889E-3</v>
      </c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>
        <v>2.3954861111111113E-3</v>
      </c>
      <c r="W9" s="23">
        <v>4.9652777777777777E-3</v>
      </c>
      <c r="X9" s="23"/>
      <c r="Y9" s="23">
        <v>1.4699074074074074E-3</v>
      </c>
      <c r="Z9" s="23">
        <v>8.3412037037037031E-3</v>
      </c>
      <c r="AA9" s="23"/>
      <c r="AB9" s="23"/>
      <c r="AC9" s="23">
        <v>7.5839120370370357E-3</v>
      </c>
      <c r="AD9" s="23"/>
      <c r="AE9" s="23"/>
      <c r="AF9" s="23">
        <v>2.9127314814814819E-3</v>
      </c>
      <c r="AG9" s="23"/>
      <c r="AH9" s="23"/>
      <c r="AI9" s="23"/>
      <c r="AJ9" s="23"/>
      <c r="AK9" s="23">
        <v>4.7222222222222223E-3</v>
      </c>
      <c r="AL9" s="2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>
        <f t="shared" si="1"/>
        <v>95</v>
      </c>
      <c r="BS9" s="13">
        <f t="shared" si="1"/>
        <v>0</v>
      </c>
      <c r="BT9" s="13">
        <f t="shared" si="1"/>
        <v>0</v>
      </c>
      <c r="BU9" s="13">
        <f t="shared" si="1"/>
        <v>0</v>
      </c>
      <c r="BV9" s="13">
        <f t="shared" si="1"/>
        <v>0</v>
      </c>
      <c r="BW9" s="13">
        <f t="shared" si="1"/>
        <v>0</v>
      </c>
      <c r="BX9" s="13">
        <f t="shared" si="1"/>
        <v>0</v>
      </c>
      <c r="BY9" s="13">
        <f t="shared" si="1"/>
        <v>0</v>
      </c>
      <c r="BZ9" s="13">
        <f t="shared" si="1"/>
        <v>0</v>
      </c>
      <c r="CA9" s="13">
        <f t="shared" si="1"/>
        <v>0</v>
      </c>
      <c r="CB9" s="13">
        <f t="shared" si="2"/>
        <v>0</v>
      </c>
      <c r="CC9" s="13">
        <f t="shared" si="2"/>
        <v>0</v>
      </c>
      <c r="CD9" s="13">
        <f t="shared" si="2"/>
        <v>0</v>
      </c>
      <c r="CE9" s="13">
        <f t="shared" si="2"/>
        <v>0</v>
      </c>
      <c r="CF9" s="13">
        <f t="shared" si="2"/>
        <v>90</v>
      </c>
      <c r="CG9" s="13">
        <f t="shared" si="2"/>
        <v>87</v>
      </c>
      <c r="CH9" s="13">
        <f t="shared" si="2"/>
        <v>0</v>
      </c>
      <c r="CI9" s="13">
        <f t="shared" si="2"/>
        <v>100</v>
      </c>
      <c r="CJ9" s="13">
        <f t="shared" si="2"/>
        <v>87</v>
      </c>
      <c r="CK9" s="13">
        <f t="shared" si="2"/>
        <v>0</v>
      </c>
      <c r="CL9" s="13">
        <f t="shared" si="3"/>
        <v>0</v>
      </c>
      <c r="CM9" s="13">
        <f t="shared" si="3"/>
        <v>95</v>
      </c>
      <c r="CN9" s="13">
        <f t="shared" si="3"/>
        <v>0</v>
      </c>
      <c r="CO9" s="13">
        <f t="shared" si="3"/>
        <v>0</v>
      </c>
      <c r="CP9" s="13">
        <f t="shared" si="3"/>
        <v>90</v>
      </c>
      <c r="CQ9" s="13">
        <f t="shared" si="3"/>
        <v>0</v>
      </c>
      <c r="CR9" s="13">
        <f t="shared" si="3"/>
        <v>0</v>
      </c>
      <c r="CS9" s="13">
        <f t="shared" si="3"/>
        <v>0</v>
      </c>
      <c r="CT9" s="13">
        <f t="shared" si="3"/>
        <v>0</v>
      </c>
      <c r="CU9" s="13">
        <f t="shared" si="3"/>
        <v>95</v>
      </c>
      <c r="CV9" s="13">
        <f t="shared" si="4"/>
        <v>0</v>
      </c>
      <c r="CW9" s="13">
        <f t="shared" si="5"/>
        <v>95</v>
      </c>
      <c r="CX9" s="13">
        <f t="shared" si="6"/>
        <v>0</v>
      </c>
      <c r="CY9" s="13">
        <f t="shared" si="7"/>
        <v>0</v>
      </c>
      <c r="CZ9" s="13">
        <f t="shared" si="8"/>
        <v>0</v>
      </c>
      <c r="DA9" s="13">
        <f t="shared" si="9"/>
        <v>0</v>
      </c>
      <c r="DB9" s="13">
        <f t="shared" si="10"/>
        <v>0</v>
      </c>
      <c r="DC9" s="13">
        <f t="shared" si="11"/>
        <v>0</v>
      </c>
      <c r="DD9" s="13">
        <f t="shared" si="12"/>
        <v>0</v>
      </c>
      <c r="DE9" s="13">
        <f t="shared" si="13"/>
        <v>0</v>
      </c>
      <c r="DF9" s="13">
        <f t="shared" si="14"/>
        <v>0</v>
      </c>
      <c r="DG9" s="13">
        <f t="shared" si="15"/>
        <v>0</v>
      </c>
      <c r="DH9" s="13">
        <f t="shared" si="16"/>
        <v>0</v>
      </c>
      <c r="DI9" s="13">
        <f t="shared" si="17"/>
        <v>0</v>
      </c>
      <c r="DJ9" s="13">
        <f t="shared" si="18"/>
        <v>0</v>
      </c>
      <c r="DK9" s="13">
        <f t="shared" si="19"/>
        <v>90</v>
      </c>
      <c r="DL9" s="13">
        <f t="shared" si="20"/>
        <v>87</v>
      </c>
      <c r="DM9" s="13">
        <f t="shared" si="21"/>
        <v>0</v>
      </c>
      <c r="DN9" s="13">
        <f t="shared" si="22"/>
        <v>100</v>
      </c>
      <c r="DO9" s="13">
        <f t="shared" si="23"/>
        <v>87</v>
      </c>
      <c r="DP9" s="13">
        <f t="shared" si="24"/>
        <v>0</v>
      </c>
      <c r="DQ9" s="13">
        <f t="shared" si="25"/>
        <v>0</v>
      </c>
      <c r="DR9" s="13">
        <f t="shared" si="26"/>
        <v>95</v>
      </c>
      <c r="DS9" s="13">
        <f t="shared" si="27"/>
        <v>0</v>
      </c>
      <c r="DT9" s="13">
        <f t="shared" si="28"/>
        <v>0</v>
      </c>
      <c r="DU9" s="13">
        <f t="shared" si="29"/>
        <v>90</v>
      </c>
      <c r="DV9" s="13">
        <f t="shared" si="30"/>
        <v>0</v>
      </c>
      <c r="DW9" s="13">
        <f t="shared" si="31"/>
        <v>0</v>
      </c>
      <c r="DX9" s="13">
        <f t="shared" si="32"/>
        <v>0</v>
      </c>
      <c r="DY9" s="13">
        <f t="shared" si="33"/>
        <v>0</v>
      </c>
      <c r="DZ9" s="13">
        <f t="shared" si="34"/>
        <v>95</v>
      </c>
      <c r="EA9" s="13">
        <f t="shared" si="35"/>
        <v>0</v>
      </c>
      <c r="EB9" s="13">
        <f t="shared" si="36"/>
        <v>739</v>
      </c>
      <c r="EC9" s="17">
        <f t="shared" si="37"/>
        <v>5</v>
      </c>
      <c r="ED9" s="17">
        <f t="shared" si="38"/>
        <v>13</v>
      </c>
    </row>
    <row r="10" spans="1:134" s="5" customFormat="1" ht="30" x14ac:dyDescent="0.25">
      <c r="A10" s="16">
        <v>111</v>
      </c>
      <c r="B10" s="11" t="s">
        <v>242</v>
      </c>
      <c r="C10" s="74"/>
      <c r="D10" s="11" t="s">
        <v>241</v>
      </c>
      <c r="E10" s="12" t="s">
        <v>228</v>
      </c>
      <c r="F10" s="11" t="s">
        <v>97</v>
      </c>
      <c r="G10" s="16">
        <f t="shared" si="0"/>
        <v>1</v>
      </c>
      <c r="H10" s="23">
        <v>6.9444444444444447E-4</v>
      </c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>
        <v>1.9212962962962962E-3</v>
      </c>
      <c r="X10" s="23"/>
      <c r="Y10" s="23"/>
      <c r="Z10" s="23">
        <v>3.1185185185185187E-3</v>
      </c>
      <c r="AA10" s="23"/>
      <c r="AB10" s="23"/>
      <c r="AC10" s="23" t="s">
        <v>116</v>
      </c>
      <c r="AD10" s="23"/>
      <c r="AE10" s="23" t="s">
        <v>116</v>
      </c>
      <c r="AF10" s="23"/>
      <c r="AG10" s="23"/>
      <c r="AH10" s="23">
        <v>2.2337962962962967E-3</v>
      </c>
      <c r="AI10" s="23" t="s">
        <v>116</v>
      </c>
      <c r="AJ10" s="23">
        <v>2.488425925925926E-3</v>
      </c>
      <c r="AK10" s="23"/>
      <c r="AL10" s="2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>
        <f t="shared" si="1"/>
        <v>100</v>
      </c>
      <c r="BS10" s="13">
        <f t="shared" si="1"/>
        <v>0</v>
      </c>
      <c r="BT10" s="13">
        <f t="shared" si="1"/>
        <v>0</v>
      </c>
      <c r="BU10" s="13">
        <f t="shared" si="1"/>
        <v>0</v>
      </c>
      <c r="BV10" s="13">
        <f t="shared" si="1"/>
        <v>0</v>
      </c>
      <c r="BW10" s="13">
        <f t="shared" si="1"/>
        <v>0</v>
      </c>
      <c r="BX10" s="13">
        <f t="shared" si="1"/>
        <v>0</v>
      </c>
      <c r="BY10" s="13">
        <f t="shared" si="1"/>
        <v>0</v>
      </c>
      <c r="BZ10" s="13">
        <f t="shared" si="1"/>
        <v>0</v>
      </c>
      <c r="CA10" s="13">
        <f t="shared" si="1"/>
        <v>0</v>
      </c>
      <c r="CB10" s="13">
        <f t="shared" si="2"/>
        <v>0</v>
      </c>
      <c r="CC10" s="13">
        <f t="shared" si="2"/>
        <v>0</v>
      </c>
      <c r="CD10" s="13">
        <f t="shared" si="2"/>
        <v>0</v>
      </c>
      <c r="CE10" s="13">
        <f t="shared" si="2"/>
        <v>0</v>
      </c>
      <c r="CF10" s="13">
        <f t="shared" si="2"/>
        <v>0</v>
      </c>
      <c r="CG10" s="13">
        <f t="shared" si="2"/>
        <v>100</v>
      </c>
      <c r="CH10" s="13">
        <f t="shared" si="2"/>
        <v>0</v>
      </c>
      <c r="CI10" s="13">
        <f t="shared" si="2"/>
        <v>0</v>
      </c>
      <c r="CJ10" s="13">
        <f t="shared" si="2"/>
        <v>100</v>
      </c>
      <c r="CK10" s="13">
        <f t="shared" si="2"/>
        <v>0</v>
      </c>
      <c r="CL10" s="13">
        <f t="shared" si="3"/>
        <v>0</v>
      </c>
      <c r="CM10" s="13">
        <f t="shared" si="3"/>
        <v>20</v>
      </c>
      <c r="CN10" s="13">
        <f t="shared" si="3"/>
        <v>0</v>
      </c>
      <c r="CO10" s="13">
        <f t="shared" si="3"/>
        <v>20</v>
      </c>
      <c r="CP10" s="13">
        <f t="shared" si="3"/>
        <v>0</v>
      </c>
      <c r="CQ10" s="13">
        <f t="shared" si="3"/>
        <v>0</v>
      </c>
      <c r="CR10" s="13">
        <f t="shared" si="3"/>
        <v>100</v>
      </c>
      <c r="CS10" s="13">
        <f t="shared" si="3"/>
        <v>20</v>
      </c>
      <c r="CT10" s="13">
        <f t="shared" si="3"/>
        <v>100</v>
      </c>
      <c r="CU10" s="13">
        <f t="shared" si="3"/>
        <v>0</v>
      </c>
      <c r="CV10" s="13">
        <f t="shared" si="4"/>
        <v>0</v>
      </c>
      <c r="CW10" s="13">
        <f t="shared" si="5"/>
        <v>100</v>
      </c>
      <c r="CX10" s="13">
        <f t="shared" si="6"/>
        <v>0</v>
      </c>
      <c r="CY10" s="13">
        <f t="shared" si="7"/>
        <v>0</v>
      </c>
      <c r="CZ10" s="13">
        <f t="shared" si="8"/>
        <v>0</v>
      </c>
      <c r="DA10" s="13">
        <f t="shared" si="9"/>
        <v>0</v>
      </c>
      <c r="DB10" s="13">
        <f t="shared" si="10"/>
        <v>0</v>
      </c>
      <c r="DC10" s="13">
        <f t="shared" si="11"/>
        <v>0</v>
      </c>
      <c r="DD10" s="13">
        <f t="shared" si="12"/>
        <v>0</v>
      </c>
      <c r="DE10" s="13">
        <f t="shared" si="13"/>
        <v>0</v>
      </c>
      <c r="DF10" s="13">
        <f t="shared" si="14"/>
        <v>0</v>
      </c>
      <c r="DG10" s="13">
        <f t="shared" si="15"/>
        <v>0</v>
      </c>
      <c r="DH10" s="13">
        <f t="shared" si="16"/>
        <v>0</v>
      </c>
      <c r="DI10" s="13">
        <f t="shared" si="17"/>
        <v>0</v>
      </c>
      <c r="DJ10" s="13">
        <f t="shared" si="18"/>
        <v>0</v>
      </c>
      <c r="DK10" s="13">
        <f t="shared" si="19"/>
        <v>0</v>
      </c>
      <c r="DL10" s="13">
        <f t="shared" si="20"/>
        <v>100</v>
      </c>
      <c r="DM10" s="13">
        <f t="shared" si="21"/>
        <v>0</v>
      </c>
      <c r="DN10" s="13">
        <f t="shared" si="22"/>
        <v>0</v>
      </c>
      <c r="DO10" s="13">
        <f t="shared" si="23"/>
        <v>100</v>
      </c>
      <c r="DP10" s="13">
        <f t="shared" si="24"/>
        <v>0</v>
      </c>
      <c r="DQ10" s="13">
        <f t="shared" si="25"/>
        <v>0</v>
      </c>
      <c r="DR10" s="13">
        <f t="shared" si="26"/>
        <v>20</v>
      </c>
      <c r="DS10" s="13">
        <f t="shared" si="27"/>
        <v>0</v>
      </c>
      <c r="DT10" s="13">
        <f t="shared" si="28"/>
        <v>20</v>
      </c>
      <c r="DU10" s="13">
        <f t="shared" si="29"/>
        <v>0</v>
      </c>
      <c r="DV10" s="13">
        <f t="shared" si="30"/>
        <v>0</v>
      </c>
      <c r="DW10" s="13">
        <f t="shared" si="31"/>
        <v>100</v>
      </c>
      <c r="DX10" s="13">
        <f t="shared" si="32"/>
        <v>20</v>
      </c>
      <c r="DY10" s="13">
        <f t="shared" si="33"/>
        <v>100</v>
      </c>
      <c r="DZ10" s="13">
        <f t="shared" si="34"/>
        <v>0</v>
      </c>
      <c r="EA10" s="13">
        <f t="shared" si="35"/>
        <v>0</v>
      </c>
      <c r="EB10" s="13">
        <f t="shared" si="36"/>
        <v>560</v>
      </c>
      <c r="EC10" s="17">
        <f t="shared" si="37"/>
        <v>7</v>
      </c>
      <c r="ED10" s="17">
        <f t="shared" si="38"/>
        <v>23</v>
      </c>
    </row>
    <row r="11" spans="1:134" s="5" customFormat="1" ht="30" x14ac:dyDescent="0.25">
      <c r="A11" s="16">
        <v>201</v>
      </c>
      <c r="B11" s="11" t="s">
        <v>245</v>
      </c>
      <c r="C11" s="74" t="s">
        <v>246</v>
      </c>
      <c r="D11" s="11" t="s">
        <v>269</v>
      </c>
      <c r="E11" s="12" t="s">
        <v>247</v>
      </c>
      <c r="F11" s="11" t="s">
        <v>98</v>
      </c>
      <c r="G11" s="16">
        <f t="shared" si="0"/>
        <v>2</v>
      </c>
      <c r="H11" s="23">
        <v>4.1666666666666666E-3</v>
      </c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>
        <v>1.7628472222222221E-3</v>
      </c>
      <c r="W11" s="23">
        <v>4.3749999999999995E-3</v>
      </c>
      <c r="X11" s="23">
        <v>3.8541666666666668E-3</v>
      </c>
      <c r="Y11" s="23"/>
      <c r="Z11" s="23"/>
      <c r="AA11" s="23" t="s">
        <v>116</v>
      </c>
      <c r="AB11" s="23">
        <v>3.3564814814814811E-3</v>
      </c>
      <c r="AC11" s="23"/>
      <c r="AE11" s="23">
        <v>3.8071759259259257E-3</v>
      </c>
      <c r="AF11" s="23"/>
      <c r="AG11" s="23" t="s">
        <v>116</v>
      </c>
      <c r="AH11" s="23">
        <v>5.7407407407407416E-3</v>
      </c>
      <c r="AI11" s="23" t="s">
        <v>116</v>
      </c>
      <c r="AJ11" s="23">
        <v>5.162037037037037E-3</v>
      </c>
      <c r="AK11" s="23"/>
      <c r="AL11" s="2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>
        <v>30</v>
      </c>
      <c r="BA11" s="13"/>
      <c r="BB11" s="13"/>
      <c r="BC11" s="13"/>
      <c r="BD11" s="13"/>
      <c r="BE11" s="13"/>
      <c r="BF11" s="13">
        <v>10</v>
      </c>
      <c r="BG11" s="13"/>
      <c r="BH11" s="13"/>
      <c r="BI11" s="13"/>
      <c r="BJ11" s="13"/>
      <c r="BK11" s="13"/>
      <c r="BL11" s="13">
        <v>30</v>
      </c>
      <c r="BM11" s="13"/>
      <c r="BN11" s="13"/>
      <c r="BO11" s="13"/>
      <c r="BP11" s="13"/>
      <c r="BQ11" s="13"/>
      <c r="BR11" s="13">
        <f t="shared" ref="BR11:CA18" si="39">IFERROR(IF(H11="DNS",0,IF(H11="DNF",20,VLOOKUP(_xlfn.RANK.EQ(H11,H$11:H$18,1),Ochk,2,FALSE))),0)</f>
        <v>81</v>
      </c>
      <c r="BS11" s="13">
        <f t="shared" si="39"/>
        <v>0</v>
      </c>
      <c r="BT11" s="13">
        <f t="shared" si="39"/>
        <v>0</v>
      </c>
      <c r="BU11" s="13">
        <f t="shared" si="39"/>
        <v>0</v>
      </c>
      <c r="BV11" s="13">
        <f t="shared" si="39"/>
        <v>0</v>
      </c>
      <c r="BW11" s="13">
        <f t="shared" si="39"/>
        <v>0</v>
      </c>
      <c r="BX11" s="13">
        <f t="shared" si="39"/>
        <v>0</v>
      </c>
      <c r="BY11" s="13">
        <f t="shared" si="39"/>
        <v>0</v>
      </c>
      <c r="BZ11" s="13">
        <f t="shared" si="39"/>
        <v>0</v>
      </c>
      <c r="CA11" s="13">
        <f t="shared" si="39"/>
        <v>0</v>
      </c>
      <c r="CB11" s="13">
        <f t="shared" ref="CB11:CK18" si="40">IFERROR(IF(R11="DNS",0,IF(R11="DNF",20,VLOOKUP(_xlfn.RANK.EQ(R11,R$11:R$18,1),Ochk,2,FALSE))),0)</f>
        <v>0</v>
      </c>
      <c r="CC11" s="13">
        <f t="shared" si="40"/>
        <v>0</v>
      </c>
      <c r="CD11" s="13">
        <f t="shared" si="40"/>
        <v>0</v>
      </c>
      <c r="CE11" s="13">
        <f t="shared" si="40"/>
        <v>0</v>
      </c>
      <c r="CF11" s="13">
        <f t="shared" si="40"/>
        <v>95</v>
      </c>
      <c r="CG11" s="13">
        <f>IFERROR(IF(W11="DNS",0,IF(W11="DNF",20,VLOOKUP(_xlfn.RANK.EQ(W11,W$11:W$18,1),Ochk,2,FALSE))),0)</f>
        <v>90</v>
      </c>
      <c r="CH11" s="13">
        <f t="shared" si="40"/>
        <v>87</v>
      </c>
      <c r="CI11" s="13">
        <f t="shared" si="40"/>
        <v>0</v>
      </c>
      <c r="CJ11" s="13">
        <f t="shared" si="40"/>
        <v>0</v>
      </c>
      <c r="CK11" s="13">
        <f t="shared" si="40"/>
        <v>20</v>
      </c>
      <c r="CL11" s="13">
        <f t="shared" ref="CL11:CU18" si="41">IFERROR(IF(AB11="DNS",0,IF(AB11="DNF",20,VLOOKUP(_xlfn.RANK.EQ(AB11,AB$11:AB$18,1),Ochk,2,FALSE))),0)</f>
        <v>90</v>
      </c>
      <c r="CM11" s="13">
        <f>IFERROR(IF(AC11="DNS",0,IF(AC11="DNF",20,VLOOKUP(_xlfn.RANK.EQ(AC11,AC$11:AC$18,1),Ochk,2,FALSE))),0)</f>
        <v>0</v>
      </c>
      <c r="CN11" s="13">
        <f>IFERROR(IF(AD11="DNS",0,IF(AD11="DNF",20,VLOOKUP(_xlfn.RANK.EQ(AD11,AD$11:AD$18,1),Ochk,2,FALSE))),0)</f>
        <v>0</v>
      </c>
      <c r="CO11" s="13">
        <f t="shared" si="41"/>
        <v>87</v>
      </c>
      <c r="CP11" s="13">
        <f t="shared" si="41"/>
        <v>0</v>
      </c>
      <c r="CQ11" s="13">
        <f t="shared" si="41"/>
        <v>20</v>
      </c>
      <c r="CR11" s="13">
        <f t="shared" si="41"/>
        <v>84</v>
      </c>
      <c r="CS11" s="13">
        <f t="shared" si="41"/>
        <v>20</v>
      </c>
      <c r="CT11" s="13">
        <f t="shared" si="41"/>
        <v>87</v>
      </c>
      <c r="CU11" s="13">
        <f t="shared" si="41"/>
        <v>0</v>
      </c>
      <c r="CV11" s="13">
        <f t="shared" ref="CV11:CV18" si="42">IFERROR(IF(AL11="DNS",0,IF(AL11="DNF",20,VLOOKUP(_xlfn.RANK.EQ(AL11,AL$11:AL$18,1),Ochk,2,FALSE))),0)</f>
        <v>0</v>
      </c>
      <c r="CW11" s="13">
        <f t="shared" si="5"/>
        <v>81</v>
      </c>
      <c r="CX11" s="13">
        <f t="shared" si="6"/>
        <v>0</v>
      </c>
      <c r="CY11" s="13">
        <f t="shared" si="7"/>
        <v>0</v>
      </c>
      <c r="CZ11" s="13">
        <f t="shared" si="8"/>
        <v>0</v>
      </c>
      <c r="DA11" s="13">
        <f t="shared" si="9"/>
        <v>0</v>
      </c>
      <c r="DB11" s="13">
        <f t="shared" si="10"/>
        <v>0</v>
      </c>
      <c r="DC11" s="13">
        <f t="shared" si="11"/>
        <v>0</v>
      </c>
      <c r="DD11" s="13">
        <f t="shared" si="12"/>
        <v>0</v>
      </c>
      <c r="DE11" s="13">
        <f t="shared" si="13"/>
        <v>0</v>
      </c>
      <c r="DF11" s="13">
        <f t="shared" si="14"/>
        <v>0</v>
      </c>
      <c r="DG11" s="13">
        <f t="shared" si="15"/>
        <v>0</v>
      </c>
      <c r="DH11" s="13">
        <f t="shared" si="16"/>
        <v>0</v>
      </c>
      <c r="DI11" s="13">
        <f t="shared" si="17"/>
        <v>0</v>
      </c>
      <c r="DJ11" s="13">
        <f t="shared" si="18"/>
        <v>0</v>
      </c>
      <c r="DK11" s="13">
        <f t="shared" si="19"/>
        <v>65</v>
      </c>
      <c r="DL11" s="13">
        <f t="shared" si="20"/>
        <v>90</v>
      </c>
      <c r="DM11" s="13">
        <f t="shared" si="21"/>
        <v>87</v>
      </c>
      <c r="DN11" s="13">
        <f t="shared" si="22"/>
        <v>0</v>
      </c>
      <c r="DO11" s="13">
        <f t="shared" si="23"/>
        <v>0</v>
      </c>
      <c r="DP11" s="13">
        <f t="shared" si="24"/>
        <v>20</v>
      </c>
      <c r="DQ11" s="13">
        <f t="shared" si="25"/>
        <v>80</v>
      </c>
      <c r="DR11" s="13">
        <f t="shared" si="26"/>
        <v>0</v>
      </c>
      <c r="DS11" s="13">
        <f t="shared" si="27"/>
        <v>0</v>
      </c>
      <c r="DT11" s="13">
        <f t="shared" si="28"/>
        <v>87</v>
      </c>
      <c r="DU11" s="13">
        <f t="shared" si="29"/>
        <v>0</v>
      </c>
      <c r="DV11" s="13">
        <f t="shared" si="30"/>
        <v>20</v>
      </c>
      <c r="DW11" s="13">
        <f t="shared" si="31"/>
        <v>54</v>
      </c>
      <c r="DX11" s="13">
        <f t="shared" si="32"/>
        <v>20</v>
      </c>
      <c r="DY11" s="13">
        <f t="shared" si="33"/>
        <v>87</v>
      </c>
      <c r="DZ11" s="13">
        <f t="shared" si="34"/>
        <v>0</v>
      </c>
      <c r="EA11" s="13">
        <f t="shared" si="35"/>
        <v>0</v>
      </c>
      <c r="EB11" s="13">
        <f t="shared" si="36"/>
        <v>691</v>
      </c>
      <c r="EC11" s="17">
        <f t="shared" ref="EC11:EC18" si="43">IFERROR(IF(EB11="СХОД","-",_xlfn.RANK.EQ(EB11,EB$11:EB$18,0)),"")</f>
        <v>5</v>
      </c>
      <c r="ED11" s="17">
        <f t="shared" si="38"/>
        <v>16</v>
      </c>
    </row>
    <row r="12" spans="1:134" s="5" customFormat="1" ht="30" x14ac:dyDescent="0.25">
      <c r="A12" s="16">
        <v>202</v>
      </c>
      <c r="B12" s="11" t="s">
        <v>243</v>
      </c>
      <c r="C12" s="74" t="s">
        <v>244</v>
      </c>
      <c r="D12" s="11" t="s">
        <v>266</v>
      </c>
      <c r="E12" s="12" t="s">
        <v>257</v>
      </c>
      <c r="F12" s="11" t="s">
        <v>98</v>
      </c>
      <c r="G12" s="16">
        <f t="shared" si="0"/>
        <v>2</v>
      </c>
      <c r="H12" s="23">
        <v>1.3888888888888889E-3</v>
      </c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>
        <v>3.2638888888888891E-3</v>
      </c>
      <c r="W12" s="23">
        <v>4.2476851851851851E-3</v>
      </c>
      <c r="X12" s="23">
        <v>3.0902777777777782E-3</v>
      </c>
      <c r="Y12" s="23">
        <v>2.0717592592592593E-3</v>
      </c>
      <c r="Z12" s="23">
        <v>3.0924768518518515E-3</v>
      </c>
      <c r="AA12" s="23">
        <v>6.5162037037037037E-3</v>
      </c>
      <c r="AB12" s="23">
        <v>2.7777777777777779E-3</v>
      </c>
      <c r="AC12" s="23">
        <v>2.2370370370370369E-3</v>
      </c>
      <c r="AD12" s="23">
        <v>4.4444444444444444E-3</v>
      </c>
      <c r="AE12" s="23">
        <v>1.4605324074074076E-3</v>
      </c>
      <c r="AF12" s="23">
        <v>2.7777777777777779E-3</v>
      </c>
      <c r="AG12" s="23">
        <v>4.2476851851851851E-3</v>
      </c>
      <c r="AH12" s="23">
        <v>1.2962962962962963E-3</v>
      </c>
      <c r="AI12" s="23">
        <v>3.4606481481481485E-3</v>
      </c>
      <c r="AJ12" s="23">
        <v>3.0439814814814821E-3</v>
      </c>
      <c r="AK12" s="23">
        <v>6.1574074074074074E-3</v>
      </c>
      <c r="AL12" s="2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>
        <v>30</v>
      </c>
      <c r="BB12" s="13"/>
      <c r="BC12" s="13"/>
      <c r="BD12" s="13"/>
      <c r="BE12" s="13"/>
      <c r="BF12" s="13"/>
      <c r="BG12" s="13"/>
      <c r="BH12" s="13"/>
      <c r="BI12" s="13"/>
      <c r="BJ12" s="13"/>
      <c r="BK12" s="13">
        <v>10</v>
      </c>
      <c r="BL12" s="13"/>
      <c r="BM12" s="13"/>
      <c r="BN12" s="13"/>
      <c r="BO12" s="13"/>
      <c r="BP12" s="13"/>
      <c r="BQ12" s="13"/>
      <c r="BR12" s="13">
        <f t="shared" si="39"/>
        <v>95</v>
      </c>
      <c r="BS12" s="13">
        <f t="shared" si="39"/>
        <v>0</v>
      </c>
      <c r="BT12" s="13">
        <f t="shared" si="39"/>
        <v>0</v>
      </c>
      <c r="BU12" s="13">
        <f t="shared" si="39"/>
        <v>0</v>
      </c>
      <c r="BV12" s="13">
        <f t="shared" si="39"/>
        <v>0</v>
      </c>
      <c r="BW12" s="13">
        <f t="shared" si="39"/>
        <v>0</v>
      </c>
      <c r="BX12" s="13">
        <f t="shared" si="39"/>
        <v>0</v>
      </c>
      <c r="BY12" s="13">
        <f t="shared" si="39"/>
        <v>0</v>
      </c>
      <c r="BZ12" s="13">
        <f t="shared" si="39"/>
        <v>0</v>
      </c>
      <c r="CA12" s="13">
        <f t="shared" si="39"/>
        <v>0</v>
      </c>
      <c r="CB12" s="13">
        <f t="shared" si="40"/>
        <v>0</v>
      </c>
      <c r="CC12" s="13">
        <f t="shared" si="40"/>
        <v>0</v>
      </c>
      <c r="CD12" s="13">
        <f t="shared" si="40"/>
        <v>0</v>
      </c>
      <c r="CE12" s="13">
        <f t="shared" si="40"/>
        <v>0</v>
      </c>
      <c r="CF12" s="13">
        <f t="shared" si="40"/>
        <v>84</v>
      </c>
      <c r="CG12" s="13">
        <f>IFERROR(IF(W12="DNS",0,IF(W12="DNF",20,VLOOKUP(_xlfn.RANK.EQ(W12,W$11:W$18,1),Ochk,2,FALSE))),0)</f>
        <v>95</v>
      </c>
      <c r="CH12" s="13">
        <f t="shared" si="40"/>
        <v>90</v>
      </c>
      <c r="CI12" s="13">
        <f t="shared" si="40"/>
        <v>84</v>
      </c>
      <c r="CJ12" s="13">
        <f t="shared" si="40"/>
        <v>95</v>
      </c>
      <c r="CK12" s="13">
        <f t="shared" si="40"/>
        <v>90</v>
      </c>
      <c r="CL12" s="13">
        <f t="shared" si="41"/>
        <v>100</v>
      </c>
      <c r="CM12" s="13">
        <f>IFERROR(IF(AC12="DNS",0,IF(AC12="DNF",20,VLOOKUP(_xlfn.RANK.EQ(AC12,AC$11:AC$18,1),Ochk,2,FALSE))),0)</f>
        <v>95</v>
      </c>
      <c r="CN12" s="13">
        <f>IFERROR(IF(AD12="DNS",0,IF(AD12="DNF",20,VLOOKUP(_xlfn.RANK.EQ(AD12,AD$11:AD$18,1),Ochk,2,FALSE))),0)</f>
        <v>100</v>
      </c>
      <c r="CO12" s="13">
        <f t="shared" si="41"/>
        <v>95</v>
      </c>
      <c r="CP12" s="13">
        <f t="shared" si="41"/>
        <v>84</v>
      </c>
      <c r="CQ12" s="13">
        <f t="shared" si="41"/>
        <v>100</v>
      </c>
      <c r="CR12" s="13">
        <f t="shared" si="41"/>
        <v>100</v>
      </c>
      <c r="CS12" s="13">
        <f t="shared" si="41"/>
        <v>95</v>
      </c>
      <c r="CT12" s="13">
        <f t="shared" si="41"/>
        <v>100</v>
      </c>
      <c r="CU12" s="13">
        <f t="shared" si="41"/>
        <v>90</v>
      </c>
      <c r="CV12" s="13">
        <f t="shared" si="42"/>
        <v>0</v>
      </c>
      <c r="CW12" s="13">
        <f t="shared" si="5"/>
        <v>95</v>
      </c>
      <c r="CX12" s="13">
        <f t="shared" si="6"/>
        <v>0</v>
      </c>
      <c r="CY12" s="13">
        <f t="shared" si="7"/>
        <v>0</v>
      </c>
      <c r="CZ12" s="13">
        <f t="shared" si="8"/>
        <v>0</v>
      </c>
      <c r="DA12" s="13">
        <f t="shared" si="9"/>
        <v>0</v>
      </c>
      <c r="DB12" s="13">
        <f t="shared" si="10"/>
        <v>0</v>
      </c>
      <c r="DC12" s="13">
        <f t="shared" si="11"/>
        <v>0</v>
      </c>
      <c r="DD12" s="13">
        <f t="shared" si="12"/>
        <v>0</v>
      </c>
      <c r="DE12" s="13">
        <f t="shared" si="13"/>
        <v>0</v>
      </c>
      <c r="DF12" s="13">
        <f t="shared" si="14"/>
        <v>0</v>
      </c>
      <c r="DG12" s="13">
        <f t="shared" si="15"/>
        <v>0</v>
      </c>
      <c r="DH12" s="13">
        <f t="shared" si="16"/>
        <v>0</v>
      </c>
      <c r="DI12" s="13">
        <f t="shared" si="17"/>
        <v>0</v>
      </c>
      <c r="DJ12" s="13">
        <f t="shared" si="18"/>
        <v>0</v>
      </c>
      <c r="DK12" s="13">
        <f t="shared" si="19"/>
        <v>84</v>
      </c>
      <c r="DL12" s="13">
        <f t="shared" si="20"/>
        <v>65</v>
      </c>
      <c r="DM12" s="13">
        <f t="shared" si="21"/>
        <v>90</v>
      </c>
      <c r="DN12" s="13">
        <f t="shared" si="22"/>
        <v>84</v>
      </c>
      <c r="DO12" s="13">
        <f t="shared" si="23"/>
        <v>95</v>
      </c>
      <c r="DP12" s="13">
        <f t="shared" si="24"/>
        <v>90</v>
      </c>
      <c r="DQ12" s="13">
        <f t="shared" si="25"/>
        <v>100</v>
      </c>
      <c r="DR12" s="13">
        <f t="shared" si="26"/>
        <v>95</v>
      </c>
      <c r="DS12" s="13">
        <f t="shared" si="27"/>
        <v>100</v>
      </c>
      <c r="DT12" s="13">
        <f t="shared" si="28"/>
        <v>95</v>
      </c>
      <c r="DU12" s="13">
        <f t="shared" si="29"/>
        <v>84</v>
      </c>
      <c r="DV12" s="13">
        <f t="shared" si="30"/>
        <v>90</v>
      </c>
      <c r="DW12" s="13">
        <f t="shared" si="31"/>
        <v>100</v>
      </c>
      <c r="DX12" s="13">
        <f t="shared" si="32"/>
        <v>95</v>
      </c>
      <c r="DY12" s="13">
        <f t="shared" si="33"/>
        <v>100</v>
      </c>
      <c r="DZ12" s="13">
        <f t="shared" si="34"/>
        <v>90</v>
      </c>
      <c r="EA12" s="13">
        <f t="shared" si="35"/>
        <v>0</v>
      </c>
      <c r="EB12" s="13">
        <f t="shared" si="36"/>
        <v>1552</v>
      </c>
      <c r="EC12" s="17">
        <f t="shared" si="43"/>
        <v>2</v>
      </c>
      <c r="ED12" s="17">
        <f t="shared" si="38"/>
        <v>2</v>
      </c>
    </row>
    <row r="13" spans="1:134" s="5" customFormat="1" ht="30" x14ac:dyDescent="0.25">
      <c r="A13" s="16">
        <v>203</v>
      </c>
      <c r="B13" s="11" t="s">
        <v>248</v>
      </c>
      <c r="C13" s="74" t="s">
        <v>249</v>
      </c>
      <c r="D13" s="11" t="s">
        <v>266</v>
      </c>
      <c r="E13" s="12" t="s">
        <v>257</v>
      </c>
      <c r="F13" s="11" t="s">
        <v>98</v>
      </c>
      <c r="G13" s="16">
        <f t="shared" si="0"/>
        <v>2</v>
      </c>
      <c r="H13" s="23">
        <v>2.0833333333333333E-3</v>
      </c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>
        <v>2.1412037037037038E-3</v>
      </c>
      <c r="Z13" s="23" t="s">
        <v>116</v>
      </c>
      <c r="AA13" s="23"/>
      <c r="AB13" s="23"/>
      <c r="AC13" s="23" t="s">
        <v>116</v>
      </c>
      <c r="AD13" s="23" t="s">
        <v>116</v>
      </c>
      <c r="AE13" s="23"/>
      <c r="AF13" s="23">
        <v>1.5947916666666664E-3</v>
      </c>
      <c r="AG13" s="23"/>
      <c r="AH13" s="23"/>
      <c r="AI13" s="23"/>
      <c r="AJ13" s="23"/>
      <c r="AK13" s="23" t="s">
        <v>116</v>
      </c>
      <c r="AL13" s="2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>
        <f t="shared" si="39"/>
        <v>90</v>
      </c>
      <c r="BS13" s="13">
        <f t="shared" si="39"/>
        <v>0</v>
      </c>
      <c r="BT13" s="13">
        <f t="shared" si="39"/>
        <v>0</v>
      </c>
      <c r="BU13" s="13">
        <f t="shared" si="39"/>
        <v>0</v>
      </c>
      <c r="BV13" s="13">
        <f t="shared" si="39"/>
        <v>0</v>
      </c>
      <c r="BW13" s="13">
        <f t="shared" si="39"/>
        <v>0</v>
      </c>
      <c r="BX13" s="13">
        <f t="shared" si="39"/>
        <v>0</v>
      </c>
      <c r="BY13" s="13">
        <f t="shared" si="39"/>
        <v>0</v>
      </c>
      <c r="BZ13" s="13">
        <f t="shared" si="39"/>
        <v>0</v>
      </c>
      <c r="CA13" s="13">
        <f t="shared" si="39"/>
        <v>0</v>
      </c>
      <c r="CB13" s="13">
        <f t="shared" si="40"/>
        <v>0</v>
      </c>
      <c r="CC13" s="13">
        <f t="shared" si="40"/>
        <v>0</v>
      </c>
      <c r="CD13" s="13">
        <f t="shared" si="40"/>
        <v>0</v>
      </c>
      <c r="CE13" s="13">
        <f t="shared" si="40"/>
        <v>0</v>
      </c>
      <c r="CF13" s="13">
        <f t="shared" si="40"/>
        <v>0</v>
      </c>
      <c r="CG13" s="13">
        <f>IFERROR(IF(W13="DNS",0,IF(W13="DNF",20,VLOOKUP(_xlfn.RANK.EQ(W13,W$11:W$18,1),Ochk,2,FALSE))),0)</f>
        <v>0</v>
      </c>
      <c r="CH13" s="13">
        <f t="shared" si="40"/>
        <v>0</v>
      </c>
      <c r="CI13" s="13">
        <f t="shared" si="40"/>
        <v>81</v>
      </c>
      <c r="CJ13" s="13">
        <f t="shared" si="40"/>
        <v>20</v>
      </c>
      <c r="CK13" s="13">
        <f t="shared" si="40"/>
        <v>0</v>
      </c>
      <c r="CL13" s="13">
        <f t="shared" si="41"/>
        <v>0</v>
      </c>
      <c r="CM13" s="13">
        <f>IFERROR(IF(AC13="DNS",0,IF(AC13="DNF",20,VLOOKUP(_xlfn.RANK.EQ(AC13,AC$11:AC$18,1),Ochk,2,FALSE))),0)</f>
        <v>20</v>
      </c>
      <c r="CN13" s="13">
        <f>IFERROR(IF(AD13="DNS",0,IF(AD13="DNF",20,VLOOKUP(_xlfn.RANK.EQ(AD13,AD$11:AD$18,1),Ochk,2,FALSE))),0)</f>
        <v>20</v>
      </c>
      <c r="CO13" s="13">
        <f t="shared" si="41"/>
        <v>0</v>
      </c>
      <c r="CP13" s="13">
        <f t="shared" si="41"/>
        <v>95</v>
      </c>
      <c r="CQ13" s="13">
        <f t="shared" si="41"/>
        <v>0</v>
      </c>
      <c r="CR13" s="13">
        <f t="shared" si="41"/>
        <v>0</v>
      </c>
      <c r="CS13" s="13">
        <f t="shared" si="41"/>
        <v>0</v>
      </c>
      <c r="CT13" s="13">
        <f t="shared" si="41"/>
        <v>0</v>
      </c>
      <c r="CU13" s="13">
        <f t="shared" si="41"/>
        <v>20</v>
      </c>
      <c r="CV13" s="13">
        <f t="shared" si="42"/>
        <v>0</v>
      </c>
      <c r="CW13" s="13">
        <f t="shared" si="5"/>
        <v>90</v>
      </c>
      <c r="CX13" s="13">
        <f t="shared" si="6"/>
        <v>0</v>
      </c>
      <c r="CY13" s="13">
        <f t="shared" si="7"/>
        <v>0</v>
      </c>
      <c r="CZ13" s="13">
        <f t="shared" si="8"/>
        <v>0</v>
      </c>
      <c r="DA13" s="13">
        <f t="shared" si="9"/>
        <v>0</v>
      </c>
      <c r="DB13" s="13">
        <f t="shared" si="10"/>
        <v>0</v>
      </c>
      <c r="DC13" s="13">
        <f t="shared" si="11"/>
        <v>0</v>
      </c>
      <c r="DD13" s="13">
        <f t="shared" si="12"/>
        <v>0</v>
      </c>
      <c r="DE13" s="13">
        <f t="shared" si="13"/>
        <v>0</v>
      </c>
      <c r="DF13" s="13">
        <f t="shared" si="14"/>
        <v>0</v>
      </c>
      <c r="DG13" s="13">
        <f t="shared" si="15"/>
        <v>0</v>
      </c>
      <c r="DH13" s="13">
        <f t="shared" si="16"/>
        <v>0</v>
      </c>
      <c r="DI13" s="13">
        <f t="shared" si="17"/>
        <v>0</v>
      </c>
      <c r="DJ13" s="13">
        <f t="shared" si="18"/>
        <v>0</v>
      </c>
      <c r="DK13" s="13">
        <f t="shared" si="19"/>
        <v>0</v>
      </c>
      <c r="DL13" s="13">
        <f t="shared" si="20"/>
        <v>0</v>
      </c>
      <c r="DM13" s="13">
        <f t="shared" si="21"/>
        <v>0</v>
      </c>
      <c r="DN13" s="13">
        <f t="shared" si="22"/>
        <v>81</v>
      </c>
      <c r="DO13" s="13">
        <f t="shared" si="23"/>
        <v>20</v>
      </c>
      <c r="DP13" s="13">
        <f t="shared" si="24"/>
        <v>0</v>
      </c>
      <c r="DQ13" s="13">
        <f t="shared" si="25"/>
        <v>0</v>
      </c>
      <c r="DR13" s="13">
        <f t="shared" si="26"/>
        <v>20</v>
      </c>
      <c r="DS13" s="13">
        <f t="shared" si="27"/>
        <v>20</v>
      </c>
      <c r="DT13" s="13">
        <f t="shared" si="28"/>
        <v>0</v>
      </c>
      <c r="DU13" s="13">
        <f t="shared" si="29"/>
        <v>95</v>
      </c>
      <c r="DV13" s="13">
        <f t="shared" si="30"/>
        <v>0</v>
      </c>
      <c r="DW13" s="13">
        <f t="shared" si="31"/>
        <v>0</v>
      </c>
      <c r="DX13" s="13">
        <f t="shared" si="32"/>
        <v>0</v>
      </c>
      <c r="DY13" s="13">
        <f t="shared" si="33"/>
        <v>0</v>
      </c>
      <c r="DZ13" s="13">
        <f t="shared" si="34"/>
        <v>20</v>
      </c>
      <c r="EA13" s="13">
        <f t="shared" si="35"/>
        <v>0</v>
      </c>
      <c r="EB13" s="13">
        <f t="shared" si="36"/>
        <v>346</v>
      </c>
      <c r="EC13" s="17">
        <f t="shared" si="43"/>
        <v>7</v>
      </c>
      <c r="ED13" s="17">
        <f t="shared" si="38"/>
        <v>27</v>
      </c>
    </row>
    <row r="14" spans="1:134" s="5" customFormat="1" ht="30" x14ac:dyDescent="0.25">
      <c r="A14" s="16">
        <v>204</v>
      </c>
      <c r="B14" s="11" t="s">
        <v>250</v>
      </c>
      <c r="C14" s="74" t="s">
        <v>251</v>
      </c>
      <c r="D14" s="11" t="s">
        <v>252</v>
      </c>
      <c r="E14" s="12" t="s">
        <v>256</v>
      </c>
      <c r="F14" s="11" t="s">
        <v>98</v>
      </c>
      <c r="G14" s="16">
        <f t="shared" si="0"/>
        <v>2</v>
      </c>
      <c r="H14" s="23">
        <v>6.9444444444444447E-4</v>
      </c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>
        <v>1.4363425925925926E-3</v>
      </c>
      <c r="W14" s="23">
        <v>3.0002314814814818E-3</v>
      </c>
      <c r="X14" s="23">
        <v>2.488425925925926E-3</v>
      </c>
      <c r="Y14" s="23">
        <v>1.7245370370370372E-3</v>
      </c>
      <c r="Z14" s="23">
        <v>3.2226851851851848E-3</v>
      </c>
      <c r="AA14" s="23">
        <v>2.0717592592592593E-3</v>
      </c>
      <c r="AB14" s="23">
        <v>5.6365740740740742E-3</v>
      </c>
      <c r="AC14" s="23">
        <v>2.1415509259259257E-3</v>
      </c>
      <c r="AD14" s="23">
        <v>5.8083333333333346E-3</v>
      </c>
      <c r="AE14" s="23">
        <v>1.2756944444444445E-3</v>
      </c>
      <c r="AF14" s="23">
        <v>1.6471064814814814E-3</v>
      </c>
      <c r="AG14" s="23">
        <v>7.1759259259259259E-3</v>
      </c>
      <c r="AH14" s="23">
        <v>2.3611111111111111E-3</v>
      </c>
      <c r="AI14" s="23">
        <v>2.5115740740740741E-3</v>
      </c>
      <c r="AJ14" s="23">
        <v>3.2291666666666666E-3</v>
      </c>
      <c r="AK14" s="23">
        <v>3.8773148148148143E-3</v>
      </c>
      <c r="AL14" s="2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>
        <v>10</v>
      </c>
      <c r="BO14" s="13"/>
      <c r="BP14" s="13"/>
      <c r="BQ14" s="13"/>
      <c r="BR14" s="13">
        <f t="shared" si="39"/>
        <v>100</v>
      </c>
      <c r="BS14" s="13">
        <f t="shared" si="39"/>
        <v>0</v>
      </c>
      <c r="BT14" s="13">
        <f t="shared" si="39"/>
        <v>0</v>
      </c>
      <c r="BU14" s="13">
        <f t="shared" si="39"/>
        <v>0</v>
      </c>
      <c r="BV14" s="13">
        <f t="shared" si="39"/>
        <v>0</v>
      </c>
      <c r="BW14" s="13">
        <f t="shared" si="39"/>
        <v>0</v>
      </c>
      <c r="BX14" s="13">
        <f t="shared" si="39"/>
        <v>0</v>
      </c>
      <c r="BY14" s="13">
        <f t="shared" si="39"/>
        <v>0</v>
      </c>
      <c r="BZ14" s="13">
        <f t="shared" si="39"/>
        <v>0</v>
      </c>
      <c r="CA14" s="13">
        <f t="shared" si="39"/>
        <v>0</v>
      </c>
      <c r="CB14" s="13">
        <f t="shared" si="40"/>
        <v>0</v>
      </c>
      <c r="CC14" s="13">
        <f t="shared" si="40"/>
        <v>0</v>
      </c>
      <c r="CD14" s="13">
        <f t="shared" si="40"/>
        <v>0</v>
      </c>
      <c r="CE14" s="13">
        <f t="shared" si="40"/>
        <v>0</v>
      </c>
      <c r="CF14" s="13">
        <f t="shared" si="40"/>
        <v>100</v>
      </c>
      <c r="CG14" s="13">
        <f>IFERROR(IF(W14="DNS",0,IF(W14="DNF",20,VLOOKUP(_xlfn.RANK.EQ(W14,W$11:W$18,1),Ochk,2,FALSE))),0)</f>
        <v>100</v>
      </c>
      <c r="CH14" s="13">
        <f t="shared" si="40"/>
        <v>100</v>
      </c>
      <c r="CI14" s="13">
        <f t="shared" si="40"/>
        <v>95</v>
      </c>
      <c r="CJ14" s="13">
        <f t="shared" si="40"/>
        <v>90</v>
      </c>
      <c r="CK14" s="13">
        <f t="shared" si="40"/>
        <v>100</v>
      </c>
      <c r="CL14" s="13">
        <f t="shared" si="41"/>
        <v>84</v>
      </c>
      <c r="CM14" s="13">
        <f>IFERROR(IF(AC14="DNS",0,IF(AC14="DNF",20,VLOOKUP(_xlfn.RANK.EQ(AC14,AC$11:AC$18,1),Ochk,2,FALSE))),0)</f>
        <v>100</v>
      </c>
      <c r="CN14" s="13">
        <f>IFERROR(IF(AD14="DNS",0,IF(AD14="DNF",20,VLOOKUP(_xlfn.RANK.EQ(AD14,AD$11:AD$18,1),Ochk,2,FALSE))),0)</f>
        <v>90</v>
      </c>
      <c r="CO14" s="13">
        <f t="shared" si="41"/>
        <v>100</v>
      </c>
      <c r="CP14" s="13">
        <f t="shared" si="41"/>
        <v>90</v>
      </c>
      <c r="CQ14" s="13">
        <f t="shared" si="41"/>
        <v>95</v>
      </c>
      <c r="CR14" s="13">
        <f t="shared" si="41"/>
        <v>90</v>
      </c>
      <c r="CS14" s="13">
        <f t="shared" si="41"/>
        <v>100</v>
      </c>
      <c r="CT14" s="13">
        <f t="shared" si="41"/>
        <v>95</v>
      </c>
      <c r="CU14" s="13">
        <f t="shared" si="41"/>
        <v>100</v>
      </c>
      <c r="CV14" s="13">
        <f t="shared" si="42"/>
        <v>0</v>
      </c>
      <c r="CW14" s="13">
        <f t="shared" si="5"/>
        <v>100</v>
      </c>
      <c r="CX14" s="13">
        <f t="shared" si="6"/>
        <v>0</v>
      </c>
      <c r="CY14" s="13">
        <f t="shared" si="7"/>
        <v>0</v>
      </c>
      <c r="CZ14" s="13">
        <f t="shared" si="8"/>
        <v>0</v>
      </c>
      <c r="DA14" s="13">
        <f t="shared" si="9"/>
        <v>0</v>
      </c>
      <c r="DB14" s="13">
        <f t="shared" si="10"/>
        <v>0</v>
      </c>
      <c r="DC14" s="13">
        <f t="shared" si="11"/>
        <v>0</v>
      </c>
      <c r="DD14" s="13">
        <f t="shared" si="12"/>
        <v>0</v>
      </c>
      <c r="DE14" s="13">
        <f t="shared" si="13"/>
        <v>0</v>
      </c>
      <c r="DF14" s="13">
        <f t="shared" si="14"/>
        <v>0</v>
      </c>
      <c r="DG14" s="13">
        <f t="shared" si="15"/>
        <v>0</v>
      </c>
      <c r="DH14" s="13">
        <f t="shared" si="16"/>
        <v>0</v>
      </c>
      <c r="DI14" s="13">
        <f t="shared" si="17"/>
        <v>0</v>
      </c>
      <c r="DJ14" s="13">
        <f t="shared" si="18"/>
        <v>0</v>
      </c>
      <c r="DK14" s="13">
        <f t="shared" si="19"/>
        <v>100</v>
      </c>
      <c r="DL14" s="13">
        <f t="shared" si="20"/>
        <v>100</v>
      </c>
      <c r="DM14" s="13">
        <f t="shared" si="21"/>
        <v>100</v>
      </c>
      <c r="DN14" s="13">
        <f t="shared" si="22"/>
        <v>95</v>
      </c>
      <c r="DO14" s="13">
        <f t="shared" si="23"/>
        <v>90</v>
      </c>
      <c r="DP14" s="13">
        <f t="shared" si="24"/>
        <v>100</v>
      </c>
      <c r="DQ14" s="13">
        <f t="shared" si="25"/>
        <v>84</v>
      </c>
      <c r="DR14" s="13">
        <f t="shared" si="26"/>
        <v>100</v>
      </c>
      <c r="DS14" s="13">
        <f t="shared" si="27"/>
        <v>90</v>
      </c>
      <c r="DT14" s="13">
        <f t="shared" si="28"/>
        <v>100</v>
      </c>
      <c r="DU14" s="13">
        <f t="shared" si="29"/>
        <v>90</v>
      </c>
      <c r="DV14" s="13">
        <f t="shared" si="30"/>
        <v>95</v>
      </c>
      <c r="DW14" s="13">
        <f t="shared" si="31"/>
        <v>90</v>
      </c>
      <c r="DX14" s="13">
        <f t="shared" si="32"/>
        <v>100</v>
      </c>
      <c r="DY14" s="13">
        <f t="shared" si="33"/>
        <v>85</v>
      </c>
      <c r="DZ14" s="13">
        <f t="shared" si="34"/>
        <v>100</v>
      </c>
      <c r="EA14" s="13">
        <f t="shared" si="35"/>
        <v>0</v>
      </c>
      <c r="EB14" s="13">
        <f t="shared" si="36"/>
        <v>1619</v>
      </c>
      <c r="EC14" s="17">
        <f t="shared" si="43"/>
        <v>1</v>
      </c>
      <c r="ED14" s="17">
        <f t="shared" si="38"/>
        <v>1</v>
      </c>
    </row>
    <row r="15" spans="1:134" s="5" customFormat="1" ht="30" x14ac:dyDescent="0.25">
      <c r="A15" s="16">
        <v>205</v>
      </c>
      <c r="B15" s="11" t="s">
        <v>253</v>
      </c>
      <c r="C15" s="74" t="s">
        <v>254</v>
      </c>
      <c r="D15" s="11" t="s">
        <v>268</v>
      </c>
      <c r="E15" s="12" t="s">
        <v>255</v>
      </c>
      <c r="F15" s="11" t="s">
        <v>98</v>
      </c>
      <c r="G15" s="16">
        <f t="shared" si="0"/>
        <v>2</v>
      </c>
      <c r="H15" s="23">
        <v>3.472222222222222E-3</v>
      </c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>
        <v>4.5952546296296297E-3</v>
      </c>
      <c r="W15" s="23" t="s">
        <v>116</v>
      </c>
      <c r="X15" s="23" t="s">
        <v>116</v>
      </c>
      <c r="Y15" s="23">
        <v>3.4490740740740745E-3</v>
      </c>
      <c r="Z15" s="23">
        <v>5.0256944444444446E-3</v>
      </c>
      <c r="AA15" s="23">
        <v>8.0324074074074065E-3</v>
      </c>
      <c r="AB15" s="23">
        <v>4.2592592592592595E-3</v>
      </c>
      <c r="AC15" s="23">
        <v>7.7817129629629625E-3</v>
      </c>
      <c r="AD15" s="23">
        <v>5.225462962962963E-3</v>
      </c>
      <c r="AE15" s="23">
        <v>5.0719907407407406E-3</v>
      </c>
      <c r="AF15" s="23">
        <v>7.3035879629629631E-3</v>
      </c>
      <c r="AG15" s="23"/>
      <c r="AH15" s="23">
        <v>2.9976851851851848E-3</v>
      </c>
      <c r="AI15" s="23" t="s">
        <v>116</v>
      </c>
      <c r="AJ15" s="23" t="s">
        <v>116</v>
      </c>
      <c r="AK15" s="23" t="s">
        <v>116</v>
      </c>
      <c r="AL15" s="2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>
        <v>10</v>
      </c>
      <c r="BE15" s="13">
        <v>10</v>
      </c>
      <c r="BF15" s="13"/>
      <c r="BG15" s="13"/>
      <c r="BH15" s="13"/>
      <c r="BI15" s="13"/>
      <c r="BJ15" s="13">
        <v>30</v>
      </c>
      <c r="BK15" s="13"/>
      <c r="BL15" s="13"/>
      <c r="BM15" s="13"/>
      <c r="BN15" s="13"/>
      <c r="BO15" s="13"/>
      <c r="BP15" s="13"/>
      <c r="BQ15" s="13"/>
      <c r="BR15" s="13">
        <f t="shared" si="39"/>
        <v>84</v>
      </c>
      <c r="BS15" s="13">
        <f t="shared" si="39"/>
        <v>0</v>
      </c>
      <c r="BT15" s="13">
        <f t="shared" si="39"/>
        <v>0</v>
      </c>
      <c r="BU15" s="13">
        <f t="shared" si="39"/>
        <v>0</v>
      </c>
      <c r="BV15" s="13">
        <f t="shared" si="39"/>
        <v>0</v>
      </c>
      <c r="BW15" s="13">
        <f t="shared" si="39"/>
        <v>0</v>
      </c>
      <c r="BX15" s="13">
        <f t="shared" si="39"/>
        <v>0</v>
      </c>
      <c r="BY15" s="13">
        <f t="shared" si="39"/>
        <v>0</v>
      </c>
      <c r="BZ15" s="13">
        <f t="shared" si="39"/>
        <v>0</v>
      </c>
      <c r="CA15" s="13">
        <f t="shared" si="39"/>
        <v>0</v>
      </c>
      <c r="CB15" s="13">
        <f t="shared" si="40"/>
        <v>0</v>
      </c>
      <c r="CC15" s="13">
        <f t="shared" si="40"/>
        <v>0</v>
      </c>
      <c r="CD15" s="13">
        <f t="shared" si="40"/>
        <v>0</v>
      </c>
      <c r="CE15" s="13">
        <f t="shared" si="40"/>
        <v>0</v>
      </c>
      <c r="CF15" s="13">
        <f t="shared" si="40"/>
        <v>81</v>
      </c>
      <c r="CG15" s="13">
        <f>IFERROR(IF(W15="DNS",0,IF(W15="DNF",20,VLOOKUP(_xlfn.RANK.EQ(W15,W$11:W$18,1),Ochk,2,FALSE))),0)</f>
        <v>20</v>
      </c>
      <c r="CH15" s="13">
        <f t="shared" si="40"/>
        <v>20</v>
      </c>
      <c r="CI15" s="13">
        <f t="shared" si="40"/>
        <v>78</v>
      </c>
      <c r="CJ15" s="13">
        <f t="shared" si="40"/>
        <v>87</v>
      </c>
      <c r="CK15" s="13">
        <f t="shared" si="40"/>
        <v>87</v>
      </c>
      <c r="CL15" s="13">
        <f t="shared" si="41"/>
        <v>87</v>
      </c>
      <c r="CM15" s="13">
        <f>IFERROR(IF(AC15="DNS",0,IF(AC15="DNF",20,VLOOKUP(_xlfn.RANK.EQ(AC15,AC$11:AC$18,1),Ochk,2,FALSE))),0)</f>
        <v>87</v>
      </c>
      <c r="CN15" s="13">
        <f>IFERROR(IF(AD15="DNS",0,IF(AD15="DNF",20,VLOOKUP(_xlfn.RANK.EQ(AD15,AD$11:AD$18,1),Ochk,2,FALSE))),0)</f>
        <v>95</v>
      </c>
      <c r="CO15" s="13">
        <f t="shared" si="41"/>
        <v>84</v>
      </c>
      <c r="CP15" s="13">
        <f t="shared" si="41"/>
        <v>81</v>
      </c>
      <c r="CQ15" s="13">
        <f t="shared" si="41"/>
        <v>0</v>
      </c>
      <c r="CR15" s="13">
        <f t="shared" si="41"/>
        <v>87</v>
      </c>
      <c r="CS15" s="13">
        <f t="shared" si="41"/>
        <v>20</v>
      </c>
      <c r="CT15" s="13">
        <f t="shared" si="41"/>
        <v>20</v>
      </c>
      <c r="CU15" s="13">
        <f t="shared" si="41"/>
        <v>20</v>
      </c>
      <c r="CV15" s="13">
        <f t="shared" si="42"/>
        <v>0</v>
      </c>
      <c r="CW15" s="13">
        <f t="shared" si="5"/>
        <v>84</v>
      </c>
      <c r="CX15" s="13">
        <f t="shared" si="6"/>
        <v>0</v>
      </c>
      <c r="CY15" s="13">
        <f t="shared" si="7"/>
        <v>0</v>
      </c>
      <c r="CZ15" s="13">
        <f t="shared" si="8"/>
        <v>0</v>
      </c>
      <c r="DA15" s="13">
        <f t="shared" si="9"/>
        <v>0</v>
      </c>
      <c r="DB15" s="13">
        <f t="shared" si="10"/>
        <v>0</v>
      </c>
      <c r="DC15" s="13">
        <f t="shared" si="11"/>
        <v>0</v>
      </c>
      <c r="DD15" s="13">
        <f t="shared" si="12"/>
        <v>0</v>
      </c>
      <c r="DE15" s="13">
        <f t="shared" si="13"/>
        <v>0</v>
      </c>
      <c r="DF15" s="13">
        <f t="shared" si="14"/>
        <v>0</v>
      </c>
      <c r="DG15" s="13">
        <f t="shared" si="15"/>
        <v>0</v>
      </c>
      <c r="DH15" s="13">
        <f t="shared" si="16"/>
        <v>0</v>
      </c>
      <c r="DI15" s="13">
        <f t="shared" si="17"/>
        <v>0</v>
      </c>
      <c r="DJ15" s="13">
        <f t="shared" si="18"/>
        <v>0</v>
      </c>
      <c r="DK15" s="13">
        <f t="shared" si="19"/>
        <v>81</v>
      </c>
      <c r="DL15" s="13">
        <f t="shared" si="20"/>
        <v>20</v>
      </c>
      <c r="DM15" s="13">
        <f t="shared" si="21"/>
        <v>20</v>
      </c>
      <c r="DN15" s="13">
        <f t="shared" si="22"/>
        <v>78</v>
      </c>
      <c r="DO15" s="13">
        <f t="shared" si="23"/>
        <v>77</v>
      </c>
      <c r="DP15" s="13">
        <f t="shared" si="24"/>
        <v>77</v>
      </c>
      <c r="DQ15" s="13">
        <f t="shared" si="25"/>
        <v>87</v>
      </c>
      <c r="DR15" s="13">
        <f t="shared" si="26"/>
        <v>87</v>
      </c>
      <c r="DS15" s="13">
        <f t="shared" si="27"/>
        <v>95</v>
      </c>
      <c r="DT15" s="13">
        <f t="shared" si="28"/>
        <v>84</v>
      </c>
      <c r="DU15" s="13">
        <f t="shared" si="29"/>
        <v>51</v>
      </c>
      <c r="DV15" s="13">
        <f t="shared" si="30"/>
        <v>0</v>
      </c>
      <c r="DW15" s="13">
        <f t="shared" si="31"/>
        <v>87</v>
      </c>
      <c r="DX15" s="13">
        <f t="shared" si="32"/>
        <v>20</v>
      </c>
      <c r="DY15" s="13">
        <f t="shared" si="33"/>
        <v>20</v>
      </c>
      <c r="DZ15" s="13">
        <f t="shared" si="34"/>
        <v>20</v>
      </c>
      <c r="EA15" s="13">
        <f t="shared" si="35"/>
        <v>0</v>
      </c>
      <c r="EB15" s="13">
        <f t="shared" si="36"/>
        <v>988</v>
      </c>
      <c r="EC15" s="17">
        <f t="shared" si="43"/>
        <v>4</v>
      </c>
      <c r="ED15" s="17">
        <f t="shared" si="38"/>
        <v>11</v>
      </c>
    </row>
    <row r="16" spans="1:134" s="5" customFormat="1" ht="30" x14ac:dyDescent="0.25">
      <c r="A16" s="16">
        <v>206</v>
      </c>
      <c r="B16" s="11" t="s">
        <v>258</v>
      </c>
      <c r="C16" s="74"/>
      <c r="D16" s="11" t="s">
        <v>267</v>
      </c>
      <c r="E16" s="12" t="s">
        <v>259</v>
      </c>
      <c r="F16" s="11" t="s">
        <v>98</v>
      </c>
      <c r="G16" s="16">
        <f t="shared" si="0"/>
        <v>2</v>
      </c>
      <c r="H16" s="23">
        <v>2.7777777777777779E-3</v>
      </c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>
        <v>2.3260416666666668E-3</v>
      </c>
      <c r="W16" s="23">
        <v>6.9212962962962969E-3</v>
      </c>
      <c r="X16" s="23">
        <v>2.6620370370370374E-3</v>
      </c>
      <c r="Y16" s="23">
        <v>1.5509259259259261E-3</v>
      </c>
      <c r="Z16" s="23">
        <v>3.0070601851851855E-3</v>
      </c>
      <c r="AA16" s="23">
        <v>4.4328703703703709E-3</v>
      </c>
      <c r="AB16" s="23">
        <v>3.0555555555555557E-3</v>
      </c>
      <c r="AC16" s="23">
        <v>3.5413194444444442E-3</v>
      </c>
      <c r="AD16" s="23" t="s">
        <v>116</v>
      </c>
      <c r="AE16" s="23">
        <v>1.6572916666666665E-3</v>
      </c>
      <c r="AF16" s="23">
        <v>1.0239583333333333E-3</v>
      </c>
      <c r="AG16" s="23">
        <v>9.9768518518518531E-3</v>
      </c>
      <c r="AH16" s="23">
        <v>1.5972222222222221E-3</v>
      </c>
      <c r="AI16" s="23">
        <v>3.9467592592592592E-3</v>
      </c>
      <c r="AJ16" s="23">
        <v>3.2638888888888891E-3</v>
      </c>
      <c r="AK16" s="23">
        <v>4.4791666666666669E-3</v>
      </c>
      <c r="AL16" s="2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>
        <v>30</v>
      </c>
      <c r="BL16" s="13"/>
      <c r="BM16" s="13"/>
      <c r="BN16" s="13"/>
      <c r="BO16" s="13"/>
      <c r="BP16" s="13"/>
      <c r="BQ16" s="13"/>
      <c r="BR16" s="13">
        <f t="shared" si="39"/>
        <v>87</v>
      </c>
      <c r="BS16" s="13">
        <f t="shared" si="39"/>
        <v>0</v>
      </c>
      <c r="BT16" s="13">
        <f t="shared" si="39"/>
        <v>0</v>
      </c>
      <c r="BU16" s="13">
        <f t="shared" si="39"/>
        <v>0</v>
      </c>
      <c r="BV16" s="13">
        <f t="shared" si="39"/>
        <v>0</v>
      </c>
      <c r="BW16" s="13">
        <f t="shared" si="39"/>
        <v>0</v>
      </c>
      <c r="BX16" s="13">
        <f t="shared" si="39"/>
        <v>0</v>
      </c>
      <c r="BY16" s="13">
        <f t="shared" si="39"/>
        <v>0</v>
      </c>
      <c r="BZ16" s="13">
        <f t="shared" si="39"/>
        <v>0</v>
      </c>
      <c r="CA16" s="13">
        <f t="shared" si="39"/>
        <v>0</v>
      </c>
      <c r="CB16" s="13">
        <f t="shared" si="40"/>
        <v>0</v>
      </c>
      <c r="CC16" s="13">
        <f t="shared" si="40"/>
        <v>0</v>
      </c>
      <c r="CD16" s="13">
        <f t="shared" si="40"/>
        <v>0</v>
      </c>
      <c r="CE16" s="13">
        <f t="shared" si="40"/>
        <v>0</v>
      </c>
      <c r="CF16" s="13">
        <f t="shared" si="40"/>
        <v>90</v>
      </c>
      <c r="CG16" s="13">
        <f>IFERROR(IF(W16="DNS",0,IF(W16="DNF",20,VLOOKUP(_xlfn.RANK.EQ(W16,W$11:W$18,1),Ochk,2,FALSE))),0)</f>
        <v>87</v>
      </c>
      <c r="CH16" s="13">
        <f t="shared" si="40"/>
        <v>95</v>
      </c>
      <c r="CI16" s="13">
        <f t="shared" si="40"/>
        <v>100</v>
      </c>
      <c r="CJ16" s="13">
        <f t="shared" si="40"/>
        <v>100</v>
      </c>
      <c r="CK16" s="13">
        <f t="shared" si="40"/>
        <v>95</v>
      </c>
      <c r="CL16" s="13">
        <f t="shared" si="41"/>
        <v>95</v>
      </c>
      <c r="CM16" s="13">
        <f>IFERROR(IF(AC16="DNS",0,IF(AC16="DNF",20,VLOOKUP(_xlfn.RANK.EQ(AC16,AC$11:AC$18,1),Ochk,2,FALSE))),0)</f>
        <v>90</v>
      </c>
      <c r="CN16" s="13">
        <f>IFERROR(IF(AD16="DNS",0,IF(AD16="DNF",20,VLOOKUP(_xlfn.RANK.EQ(AD16,AD$11:AD$18,1),Ochk,2,FALSE))),0)</f>
        <v>20</v>
      </c>
      <c r="CO16" s="13">
        <f t="shared" si="41"/>
        <v>90</v>
      </c>
      <c r="CP16" s="13">
        <f t="shared" si="41"/>
        <v>100</v>
      </c>
      <c r="CQ16" s="13">
        <f t="shared" si="41"/>
        <v>90</v>
      </c>
      <c r="CR16" s="13">
        <f t="shared" si="41"/>
        <v>95</v>
      </c>
      <c r="CS16" s="13">
        <f t="shared" si="41"/>
        <v>90</v>
      </c>
      <c r="CT16" s="13">
        <f t="shared" si="41"/>
        <v>90</v>
      </c>
      <c r="CU16" s="13">
        <f t="shared" si="41"/>
        <v>95</v>
      </c>
      <c r="CV16" s="13">
        <f t="shared" si="42"/>
        <v>0</v>
      </c>
      <c r="CW16" s="13">
        <f t="shared" si="5"/>
        <v>87</v>
      </c>
      <c r="CX16" s="13">
        <f t="shared" si="6"/>
        <v>0</v>
      </c>
      <c r="CY16" s="13">
        <f t="shared" si="7"/>
        <v>0</v>
      </c>
      <c r="CZ16" s="13">
        <f t="shared" si="8"/>
        <v>0</v>
      </c>
      <c r="DA16" s="13">
        <f t="shared" si="9"/>
        <v>0</v>
      </c>
      <c r="DB16" s="13">
        <f t="shared" si="10"/>
        <v>0</v>
      </c>
      <c r="DC16" s="13">
        <f t="shared" si="11"/>
        <v>0</v>
      </c>
      <c r="DD16" s="13">
        <f t="shared" si="12"/>
        <v>0</v>
      </c>
      <c r="DE16" s="13">
        <f t="shared" si="13"/>
        <v>0</v>
      </c>
      <c r="DF16" s="13">
        <f t="shared" si="14"/>
        <v>0</v>
      </c>
      <c r="DG16" s="13">
        <f t="shared" si="15"/>
        <v>0</v>
      </c>
      <c r="DH16" s="13">
        <f t="shared" si="16"/>
        <v>0</v>
      </c>
      <c r="DI16" s="13">
        <f t="shared" si="17"/>
        <v>0</v>
      </c>
      <c r="DJ16" s="13">
        <f t="shared" si="18"/>
        <v>0</v>
      </c>
      <c r="DK16" s="13">
        <f t="shared" si="19"/>
        <v>90</v>
      </c>
      <c r="DL16" s="13">
        <f t="shared" si="20"/>
        <v>87</v>
      </c>
      <c r="DM16" s="13">
        <f t="shared" si="21"/>
        <v>95</v>
      </c>
      <c r="DN16" s="13">
        <f t="shared" si="22"/>
        <v>100</v>
      </c>
      <c r="DO16" s="13">
        <f t="shared" si="23"/>
        <v>100</v>
      </c>
      <c r="DP16" s="13">
        <f t="shared" si="24"/>
        <v>95</v>
      </c>
      <c r="DQ16" s="13">
        <f t="shared" si="25"/>
        <v>95</v>
      </c>
      <c r="DR16" s="13">
        <f t="shared" si="26"/>
        <v>90</v>
      </c>
      <c r="DS16" s="13">
        <f t="shared" si="27"/>
        <v>20</v>
      </c>
      <c r="DT16" s="13">
        <f t="shared" si="28"/>
        <v>90</v>
      </c>
      <c r="DU16" s="13">
        <f t="shared" si="29"/>
        <v>100</v>
      </c>
      <c r="DV16" s="13">
        <f t="shared" si="30"/>
        <v>60</v>
      </c>
      <c r="DW16" s="13">
        <f t="shared" si="31"/>
        <v>95</v>
      </c>
      <c r="DX16" s="13">
        <f t="shared" si="32"/>
        <v>90</v>
      </c>
      <c r="DY16" s="13">
        <f t="shared" si="33"/>
        <v>90</v>
      </c>
      <c r="DZ16" s="13">
        <f t="shared" si="34"/>
        <v>95</v>
      </c>
      <c r="EA16" s="13">
        <f t="shared" si="35"/>
        <v>0</v>
      </c>
      <c r="EB16" s="13">
        <f t="shared" si="36"/>
        <v>1479</v>
      </c>
      <c r="EC16" s="17">
        <f t="shared" si="43"/>
        <v>3</v>
      </c>
      <c r="ED16" s="17">
        <f t="shared" si="38"/>
        <v>3</v>
      </c>
    </row>
    <row r="17" spans="1:134" s="5" customFormat="1" ht="30" x14ac:dyDescent="0.25">
      <c r="A17" s="16">
        <v>207</v>
      </c>
      <c r="B17" s="11" t="s">
        <v>351</v>
      </c>
      <c r="C17" s="74"/>
      <c r="D17" s="11" t="s">
        <v>263</v>
      </c>
      <c r="E17" s="12" t="s">
        <v>307</v>
      </c>
      <c r="F17" s="11" t="s">
        <v>98</v>
      </c>
      <c r="G17" s="16">
        <f>VLOOKUP(F17,Class,2,FALSE)</f>
        <v>2</v>
      </c>
      <c r="H17" s="23" t="s">
        <v>116</v>
      </c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>
        <v>6.6934027777777782E-3</v>
      </c>
      <c r="W17" s="23" t="s">
        <v>116</v>
      </c>
      <c r="X17" s="23" t="s">
        <v>116</v>
      </c>
      <c r="Y17" s="23">
        <v>1.7245370370370372E-3</v>
      </c>
      <c r="Z17" s="23"/>
      <c r="AA17" s="23"/>
      <c r="AB17" s="23"/>
      <c r="AC17" s="23"/>
      <c r="AD17" s="23"/>
      <c r="AE17" s="23"/>
      <c r="AF17" s="23">
        <v>1.8750000000000001E-3</v>
      </c>
      <c r="AG17" s="23"/>
      <c r="AH17" s="23"/>
      <c r="AI17" s="23"/>
      <c r="AJ17" s="23"/>
      <c r="AK17" s="23"/>
      <c r="AL17" s="2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>
        <v>10</v>
      </c>
      <c r="BK17" s="13"/>
      <c r="BL17" s="13"/>
      <c r="BM17" s="13"/>
      <c r="BN17" s="13"/>
      <c r="BO17" s="13"/>
      <c r="BP17" s="13"/>
      <c r="BQ17" s="13"/>
      <c r="BR17" s="13">
        <f t="shared" si="39"/>
        <v>20</v>
      </c>
      <c r="BS17" s="13">
        <f t="shared" si="39"/>
        <v>0</v>
      </c>
      <c r="BT17" s="13">
        <f t="shared" si="39"/>
        <v>0</v>
      </c>
      <c r="BU17" s="13">
        <f t="shared" si="39"/>
        <v>0</v>
      </c>
      <c r="BV17" s="13">
        <f t="shared" si="39"/>
        <v>0</v>
      </c>
      <c r="BW17" s="13">
        <f t="shared" si="39"/>
        <v>0</v>
      </c>
      <c r="BX17" s="13">
        <f t="shared" si="39"/>
        <v>0</v>
      </c>
      <c r="BY17" s="13">
        <f t="shared" si="39"/>
        <v>0</v>
      </c>
      <c r="BZ17" s="13">
        <f t="shared" si="39"/>
        <v>0</v>
      </c>
      <c r="CA17" s="13">
        <f t="shared" si="39"/>
        <v>0</v>
      </c>
      <c r="CB17" s="13">
        <f t="shared" si="40"/>
        <v>0</v>
      </c>
      <c r="CC17" s="13">
        <f t="shared" si="40"/>
        <v>0</v>
      </c>
      <c r="CD17" s="13">
        <f t="shared" si="40"/>
        <v>0</v>
      </c>
      <c r="CE17" s="13">
        <f t="shared" si="40"/>
        <v>0</v>
      </c>
      <c r="CF17" s="13">
        <f t="shared" si="40"/>
        <v>78</v>
      </c>
      <c r="CG17" s="13">
        <f>IFERROR(IF(W17="DNS",0,IF(W17="DNF",20,VLOOKUP(_xlfn.RANK.EQ(W17,W$11:W$18,1),Ochk,2,FALSE))),0)</f>
        <v>20</v>
      </c>
      <c r="CH17" s="13">
        <f t="shared" si="40"/>
        <v>20</v>
      </c>
      <c r="CI17" s="13">
        <f t="shared" si="40"/>
        <v>95</v>
      </c>
      <c r="CJ17" s="13">
        <f t="shared" si="40"/>
        <v>0</v>
      </c>
      <c r="CK17" s="13">
        <f t="shared" si="40"/>
        <v>0</v>
      </c>
      <c r="CL17" s="13">
        <f t="shared" si="41"/>
        <v>0</v>
      </c>
      <c r="CM17" s="13">
        <f>IFERROR(IF(AC17="DNS",0,IF(AC17="DNF",20,VLOOKUP(_xlfn.RANK.EQ(AC17,AC$11:AC$18,1),Ochk,2,FALSE))),0)</f>
        <v>0</v>
      </c>
      <c r="CN17" s="13">
        <f>IFERROR(IF(AD17="DNS",0,IF(AD17="DNF",20,VLOOKUP(_xlfn.RANK.EQ(AD17,AD$11:AD$18,1),Ochk,2,FALSE))),0)</f>
        <v>0</v>
      </c>
      <c r="CO17" s="13">
        <f t="shared" si="41"/>
        <v>0</v>
      </c>
      <c r="CP17" s="13">
        <f t="shared" si="41"/>
        <v>87</v>
      </c>
      <c r="CQ17" s="13">
        <f t="shared" si="41"/>
        <v>0</v>
      </c>
      <c r="CR17" s="13">
        <f t="shared" si="41"/>
        <v>0</v>
      </c>
      <c r="CS17" s="13">
        <f t="shared" si="41"/>
        <v>0</v>
      </c>
      <c r="CT17" s="13">
        <f t="shared" si="41"/>
        <v>0</v>
      </c>
      <c r="CU17" s="13">
        <f t="shared" si="41"/>
        <v>0</v>
      </c>
      <c r="CV17" s="13">
        <f t="shared" si="42"/>
        <v>0</v>
      </c>
      <c r="CW17" s="13">
        <f>BR17</f>
        <v>20</v>
      </c>
      <c r="CX17" s="13">
        <f t="shared" ref="CX17:EA17" si="44">BS17-AM17</f>
        <v>0</v>
      </c>
      <c r="CY17" s="13">
        <f t="shared" si="44"/>
        <v>0</v>
      </c>
      <c r="CZ17" s="13">
        <f t="shared" si="44"/>
        <v>0</v>
      </c>
      <c r="DA17" s="13">
        <f t="shared" si="44"/>
        <v>0</v>
      </c>
      <c r="DB17" s="13">
        <f t="shared" si="44"/>
        <v>0</v>
      </c>
      <c r="DC17" s="13">
        <f t="shared" si="44"/>
        <v>0</v>
      </c>
      <c r="DD17" s="13">
        <f t="shared" si="44"/>
        <v>0</v>
      </c>
      <c r="DE17" s="13">
        <f t="shared" si="44"/>
        <v>0</v>
      </c>
      <c r="DF17" s="13">
        <f t="shared" si="44"/>
        <v>0</v>
      </c>
      <c r="DG17" s="13">
        <f t="shared" si="44"/>
        <v>0</v>
      </c>
      <c r="DH17" s="13">
        <f t="shared" si="44"/>
        <v>0</v>
      </c>
      <c r="DI17" s="13">
        <f t="shared" si="44"/>
        <v>0</v>
      </c>
      <c r="DJ17" s="13">
        <f t="shared" si="44"/>
        <v>0</v>
      </c>
      <c r="DK17" s="13">
        <f t="shared" si="44"/>
        <v>78</v>
      </c>
      <c r="DL17" s="13">
        <f t="shared" si="44"/>
        <v>20</v>
      </c>
      <c r="DM17" s="13">
        <f t="shared" si="44"/>
        <v>20</v>
      </c>
      <c r="DN17" s="13">
        <f t="shared" si="44"/>
        <v>95</v>
      </c>
      <c r="DO17" s="13">
        <f t="shared" si="44"/>
        <v>0</v>
      </c>
      <c r="DP17" s="13">
        <f t="shared" si="44"/>
        <v>0</v>
      </c>
      <c r="DQ17" s="13">
        <f t="shared" si="44"/>
        <v>0</v>
      </c>
      <c r="DR17" s="13">
        <f t="shared" si="44"/>
        <v>0</v>
      </c>
      <c r="DS17" s="13">
        <f t="shared" si="44"/>
        <v>0</v>
      </c>
      <c r="DT17" s="13">
        <f t="shared" si="44"/>
        <v>0</v>
      </c>
      <c r="DU17" s="13">
        <f t="shared" si="44"/>
        <v>77</v>
      </c>
      <c r="DV17" s="13">
        <f t="shared" si="44"/>
        <v>0</v>
      </c>
      <c r="DW17" s="13">
        <f t="shared" si="44"/>
        <v>0</v>
      </c>
      <c r="DX17" s="13">
        <f t="shared" si="44"/>
        <v>0</v>
      </c>
      <c r="DY17" s="13">
        <f t="shared" si="44"/>
        <v>0</v>
      </c>
      <c r="DZ17" s="13">
        <f t="shared" si="44"/>
        <v>0</v>
      </c>
      <c r="EA17" s="13">
        <f t="shared" si="44"/>
        <v>0</v>
      </c>
      <c r="EB17" s="13">
        <f t="shared" si="36"/>
        <v>310</v>
      </c>
      <c r="EC17" s="17">
        <f t="shared" si="43"/>
        <v>8</v>
      </c>
      <c r="ED17" s="17">
        <f t="shared" si="38"/>
        <v>29</v>
      </c>
    </row>
    <row r="18" spans="1:134" s="5" customFormat="1" ht="30" x14ac:dyDescent="0.25">
      <c r="A18" s="16">
        <v>209</v>
      </c>
      <c r="B18" s="11" t="s">
        <v>260</v>
      </c>
      <c r="C18" s="74" t="s">
        <v>261</v>
      </c>
      <c r="D18" s="11" t="s">
        <v>266</v>
      </c>
      <c r="E18" s="12" t="s">
        <v>262</v>
      </c>
      <c r="F18" s="11" t="s">
        <v>98</v>
      </c>
      <c r="G18" s="16">
        <f t="shared" si="0"/>
        <v>2</v>
      </c>
      <c r="H18" s="23" t="s">
        <v>116</v>
      </c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>
        <v>2.3336805555555554E-3</v>
      </c>
      <c r="W18" s="5" t="s">
        <v>116</v>
      </c>
      <c r="X18" s="23" t="s">
        <v>116</v>
      </c>
      <c r="Y18" s="23">
        <v>1.9560185185185184E-3</v>
      </c>
      <c r="Z18" s="23" t="s">
        <v>116</v>
      </c>
      <c r="AA18" s="23" t="s">
        <v>116</v>
      </c>
      <c r="AB18" s="23" t="s">
        <v>116</v>
      </c>
      <c r="AC18" s="23"/>
      <c r="AD18" s="23" t="s">
        <v>116</v>
      </c>
      <c r="AE18" s="23" t="s">
        <v>116</v>
      </c>
      <c r="AF18" s="23"/>
      <c r="AG18" s="23"/>
      <c r="AH18" s="23">
        <v>7.8009259259259256E-3</v>
      </c>
      <c r="AI18" s="23" t="s">
        <v>116</v>
      </c>
      <c r="AJ18" s="23" t="s">
        <v>116</v>
      </c>
      <c r="AK18" s="23"/>
      <c r="AL18" s="2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>
        <f t="shared" si="39"/>
        <v>20</v>
      </c>
      <c r="BS18" s="13">
        <f t="shared" si="39"/>
        <v>0</v>
      </c>
      <c r="BT18" s="13">
        <f t="shared" si="39"/>
        <v>0</v>
      </c>
      <c r="BU18" s="13">
        <f t="shared" si="39"/>
        <v>0</v>
      </c>
      <c r="BV18" s="13">
        <f t="shared" si="39"/>
        <v>0</v>
      </c>
      <c r="BW18" s="13">
        <f t="shared" si="39"/>
        <v>0</v>
      </c>
      <c r="BX18" s="13">
        <f t="shared" si="39"/>
        <v>0</v>
      </c>
      <c r="BY18" s="13">
        <f t="shared" si="39"/>
        <v>0</v>
      </c>
      <c r="BZ18" s="13">
        <f t="shared" si="39"/>
        <v>0</v>
      </c>
      <c r="CA18" s="13">
        <f t="shared" si="39"/>
        <v>0</v>
      </c>
      <c r="CB18" s="13">
        <f t="shared" si="40"/>
        <v>0</v>
      </c>
      <c r="CC18" s="13">
        <f t="shared" si="40"/>
        <v>0</v>
      </c>
      <c r="CD18" s="13">
        <f t="shared" si="40"/>
        <v>0</v>
      </c>
      <c r="CE18" s="13">
        <f t="shared" si="40"/>
        <v>0</v>
      </c>
      <c r="CF18" s="13">
        <f t="shared" si="40"/>
        <v>87</v>
      </c>
      <c r="CG18" s="13">
        <f>IFERROR(IF(W18="DNS",0,IF(W18="DNF",20,VLOOKUP(_xlfn.RANK.EQ(W18,W$11:W$18,1),Ochk,2,FALSE))),0)</f>
        <v>20</v>
      </c>
      <c r="CH18" s="13">
        <f t="shared" si="40"/>
        <v>20</v>
      </c>
      <c r="CI18" s="13">
        <f t="shared" si="40"/>
        <v>87</v>
      </c>
      <c r="CJ18" s="13">
        <f t="shared" si="40"/>
        <v>20</v>
      </c>
      <c r="CK18" s="13">
        <f t="shared" si="40"/>
        <v>20</v>
      </c>
      <c r="CL18" s="13">
        <f t="shared" si="41"/>
        <v>20</v>
      </c>
      <c r="CM18" s="13">
        <f>IFERROR(IF(AC18="DNS",0,IF(AC18="DNF",20,VLOOKUP(_xlfn.RANK.EQ(AC18,AC$11:AC$18,1),Ochk,2,FALSE))),0)</f>
        <v>0</v>
      </c>
      <c r="CN18" s="13">
        <f>IFERROR(IF(AD18="DNS",0,IF(AD18="DNF",20,VLOOKUP(_xlfn.RANK.EQ(AD18,AD$11:AD$18,1),Ochk,2,FALSE))),0)</f>
        <v>20</v>
      </c>
      <c r="CO18" s="13">
        <f t="shared" si="41"/>
        <v>20</v>
      </c>
      <c r="CP18" s="13">
        <f t="shared" si="41"/>
        <v>0</v>
      </c>
      <c r="CQ18" s="13">
        <f t="shared" si="41"/>
        <v>0</v>
      </c>
      <c r="CR18" s="13">
        <f t="shared" si="41"/>
        <v>81</v>
      </c>
      <c r="CS18" s="13">
        <f t="shared" si="41"/>
        <v>20</v>
      </c>
      <c r="CT18" s="13">
        <f t="shared" si="41"/>
        <v>20</v>
      </c>
      <c r="CU18" s="13">
        <f t="shared" si="41"/>
        <v>0</v>
      </c>
      <c r="CV18" s="13">
        <f t="shared" si="42"/>
        <v>0</v>
      </c>
      <c r="CW18" s="13">
        <f t="shared" si="5"/>
        <v>20</v>
      </c>
      <c r="CX18" s="13">
        <f t="shared" si="6"/>
        <v>0</v>
      </c>
      <c r="CY18" s="13">
        <f t="shared" si="7"/>
        <v>0</v>
      </c>
      <c r="CZ18" s="13">
        <f t="shared" si="8"/>
        <v>0</v>
      </c>
      <c r="DA18" s="13">
        <f t="shared" si="9"/>
        <v>0</v>
      </c>
      <c r="DB18" s="13">
        <f t="shared" si="10"/>
        <v>0</v>
      </c>
      <c r="DC18" s="13">
        <f t="shared" si="11"/>
        <v>0</v>
      </c>
      <c r="DD18" s="13">
        <f t="shared" si="12"/>
        <v>0</v>
      </c>
      <c r="DE18" s="13">
        <f t="shared" si="13"/>
        <v>0</v>
      </c>
      <c r="DF18" s="13">
        <f t="shared" si="14"/>
        <v>0</v>
      </c>
      <c r="DG18" s="13">
        <f t="shared" si="15"/>
        <v>0</v>
      </c>
      <c r="DH18" s="13">
        <f t="shared" si="16"/>
        <v>0</v>
      </c>
      <c r="DI18" s="13">
        <f t="shared" si="17"/>
        <v>0</v>
      </c>
      <c r="DJ18" s="13">
        <f t="shared" si="18"/>
        <v>0</v>
      </c>
      <c r="DK18" s="13">
        <f t="shared" si="19"/>
        <v>87</v>
      </c>
      <c r="DL18" s="13">
        <f t="shared" si="20"/>
        <v>20</v>
      </c>
      <c r="DM18" s="13">
        <f t="shared" si="21"/>
        <v>20</v>
      </c>
      <c r="DN18" s="13">
        <f t="shared" si="22"/>
        <v>87</v>
      </c>
      <c r="DO18" s="13">
        <f t="shared" si="23"/>
        <v>20</v>
      </c>
      <c r="DP18" s="13">
        <f t="shared" si="24"/>
        <v>20</v>
      </c>
      <c r="DQ18" s="13">
        <f t="shared" si="25"/>
        <v>20</v>
      </c>
      <c r="DR18" s="13">
        <f t="shared" si="26"/>
        <v>0</v>
      </c>
      <c r="DS18" s="13">
        <f t="shared" si="27"/>
        <v>20</v>
      </c>
      <c r="DT18" s="13">
        <f t="shared" si="28"/>
        <v>20</v>
      </c>
      <c r="DU18" s="13">
        <f t="shared" si="29"/>
        <v>0</v>
      </c>
      <c r="DV18" s="13">
        <f t="shared" si="30"/>
        <v>0</v>
      </c>
      <c r="DW18" s="13">
        <f t="shared" si="31"/>
        <v>81</v>
      </c>
      <c r="DX18" s="13">
        <f t="shared" si="32"/>
        <v>20</v>
      </c>
      <c r="DY18" s="13">
        <f t="shared" si="33"/>
        <v>20</v>
      </c>
      <c r="DZ18" s="13">
        <f t="shared" si="34"/>
        <v>0</v>
      </c>
      <c r="EA18" s="13">
        <f t="shared" si="35"/>
        <v>0</v>
      </c>
      <c r="EB18" s="13">
        <f t="shared" si="36"/>
        <v>455</v>
      </c>
      <c r="EC18" s="17">
        <f t="shared" si="43"/>
        <v>6</v>
      </c>
      <c r="ED18" s="17">
        <f t="shared" si="38"/>
        <v>26</v>
      </c>
    </row>
    <row r="19" spans="1:134" s="5" customFormat="1" ht="30" x14ac:dyDescent="0.25">
      <c r="A19" s="16">
        <v>301</v>
      </c>
      <c r="B19" s="11" t="s">
        <v>270</v>
      </c>
      <c r="C19" s="74"/>
      <c r="D19" s="11" t="s">
        <v>264</v>
      </c>
      <c r="E19" s="12" t="s">
        <v>271</v>
      </c>
      <c r="F19" s="11" t="s">
        <v>99</v>
      </c>
      <c r="G19" s="16">
        <f t="shared" si="0"/>
        <v>3</v>
      </c>
      <c r="H19" s="23" t="s">
        <v>116</v>
      </c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>
        <v>4.0495370370370373E-3</v>
      </c>
      <c r="W19" s="23" t="s">
        <v>116</v>
      </c>
      <c r="X19" s="23" t="s">
        <v>116</v>
      </c>
      <c r="Y19" s="23" t="s">
        <v>116</v>
      </c>
      <c r="Z19" s="23" t="s">
        <v>116</v>
      </c>
      <c r="AA19" s="23" t="s">
        <v>116</v>
      </c>
      <c r="AB19" s="23" t="s">
        <v>116</v>
      </c>
      <c r="AC19" s="23" t="s">
        <v>116</v>
      </c>
      <c r="AD19" s="23" t="s">
        <v>116</v>
      </c>
      <c r="AE19" s="23" t="s">
        <v>116</v>
      </c>
      <c r="AF19" s="23"/>
      <c r="AG19" s="23"/>
      <c r="AH19" s="23" t="s">
        <v>116</v>
      </c>
      <c r="AI19" s="23" t="s">
        <v>116</v>
      </c>
      <c r="AJ19" s="23" t="s">
        <v>116</v>
      </c>
      <c r="AK19" s="23"/>
      <c r="AL19" s="2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>
        <v>60</v>
      </c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>
        <f t="shared" ref="BR19:BR39" si="45">IFERROR(IF(H19="DNS",0,IF(H19="DNF",20,VLOOKUP(_xlfn.RANK.EQ(H19,H$19:H$39,1),Ochk,2,FALSE))),0)</f>
        <v>20</v>
      </c>
      <c r="BS19" s="13">
        <f t="shared" ref="BS19:BS39" si="46">IFERROR(IF(I19="DNS",0,IF(I19="DNF",20,VLOOKUP(_xlfn.RANK.EQ(I19,I$19:I$39,1),Ochk,2,FALSE))),0)</f>
        <v>0</v>
      </c>
      <c r="BT19" s="13">
        <f t="shared" ref="BT19:BT39" si="47">IFERROR(IF(J19="DNS",0,IF(J19="DNF",20,VLOOKUP(_xlfn.RANK.EQ(J19,J$19:J$39,1),Ochk,2,FALSE))),0)</f>
        <v>0</v>
      </c>
      <c r="BU19" s="13">
        <f t="shared" ref="BU19:BU39" si="48">IFERROR(IF(K19="DNS",0,IF(K19="DNF",20,VLOOKUP(_xlfn.RANK.EQ(K19,K$19:K$39,1),Ochk,2,FALSE))),0)</f>
        <v>0</v>
      </c>
      <c r="BV19" s="13">
        <f t="shared" ref="BV19:BV39" si="49">IFERROR(IF(L19="DNS",0,IF(L19="DNF",20,VLOOKUP(_xlfn.RANK.EQ(L19,L$19:L$39,1),Ochk,2,FALSE))),0)</f>
        <v>0</v>
      </c>
      <c r="BW19" s="13">
        <f t="shared" ref="BW19:BW39" si="50">IFERROR(IF(M19="DNS",0,IF(M19="DNF",20,VLOOKUP(_xlfn.RANK.EQ(M19,M$19:M$39,1),Ochk,2,FALSE))),0)</f>
        <v>0</v>
      </c>
      <c r="BX19" s="13">
        <f t="shared" ref="BX19:BX39" si="51">IFERROR(IF(N19="DNS",0,IF(N19="DNF",20,VLOOKUP(_xlfn.RANK.EQ(N19,N$19:N$39,1),Ochk,2,FALSE))),0)</f>
        <v>0</v>
      </c>
      <c r="BY19" s="13">
        <f t="shared" ref="BY19:BY39" si="52">IFERROR(IF(O19="DNS",0,IF(O19="DNF",20,VLOOKUP(_xlfn.RANK.EQ(O19,O$19:O$39,1),Ochk,2,FALSE))),0)</f>
        <v>0</v>
      </c>
      <c r="BZ19" s="13">
        <f t="shared" ref="BZ19:BZ39" si="53">IFERROR(IF(P19="DNS",0,IF(P19="DNF",20,VLOOKUP(_xlfn.RANK.EQ(P19,P$19:P$39,1),Ochk,2,FALSE))),0)</f>
        <v>0</v>
      </c>
      <c r="CA19" s="13">
        <f t="shared" ref="CA19:CA39" si="54">IFERROR(IF(Q19="DNS",0,IF(Q19="DNF",20,VLOOKUP(_xlfn.RANK.EQ(Q19,Q$19:Q$39,1),Ochk,2,FALSE))),0)</f>
        <v>0</v>
      </c>
      <c r="CB19" s="13">
        <f t="shared" ref="CB19:CB39" si="55">IFERROR(IF(R19="DNS",0,IF(R19="DNF",20,VLOOKUP(_xlfn.RANK.EQ(R19,R$19:R$39,1),Ochk,2,FALSE))),0)</f>
        <v>0</v>
      </c>
      <c r="CC19" s="13">
        <f t="shared" ref="CC19:CC39" si="56">IFERROR(IF(S19="DNS",0,IF(S19="DNF",20,VLOOKUP(_xlfn.RANK.EQ(S19,S$19:S$39,1),Ochk,2,FALSE))),0)</f>
        <v>0</v>
      </c>
      <c r="CD19" s="13">
        <f t="shared" ref="CD19:CD39" si="57">IFERROR(IF(T19="DNS",0,IF(T19="DNF",20,VLOOKUP(_xlfn.RANK.EQ(T19,T$19:T$39,1),Ochk,2,FALSE))),0)</f>
        <v>0</v>
      </c>
      <c r="CE19" s="13">
        <f t="shared" ref="CE19:CE39" si="58">IFERROR(IF(U19="DNS",0,IF(U19="DNF",20,VLOOKUP(_xlfn.RANK.EQ(U19,U$19:U$39,1),Ochk,2,FALSE))),0)</f>
        <v>0</v>
      </c>
      <c r="CF19" s="13">
        <f t="shared" ref="CF19:CF39" si="59">IFERROR(IF(V19="DNS",0,IF(V19="DNF",20,VLOOKUP(_xlfn.RANK.EQ(V19,V$19:V$39,1),Ochk,2,FALSE))),0)</f>
        <v>78</v>
      </c>
      <c r="CG19" s="13">
        <f t="shared" ref="CG19:CG39" si="60">IFERROR(IF(W19="DNS",0,IF(W19="DNF",20,VLOOKUP(_xlfn.RANK.EQ(W19,W$19:W$39,1),Ochk,2,FALSE))),0)</f>
        <v>20</v>
      </c>
      <c r="CH19" s="13">
        <f t="shared" ref="CH19:CH39" si="61">IFERROR(IF(X19="DNS",0,IF(X19="DNF",20,VLOOKUP(_xlfn.RANK.EQ(X19,X$19:X$39,1),Ochk,2,FALSE))),0)</f>
        <v>20</v>
      </c>
      <c r="CI19" s="13">
        <f t="shared" ref="CI19:CI39" si="62">IFERROR(IF(Y19="DNS",0,IF(Y19="DNF",20,VLOOKUP(_xlfn.RANK.EQ(Y19,Y$19:Y$39,1),Ochk,2,FALSE))),0)</f>
        <v>20</v>
      </c>
      <c r="CJ19" s="13">
        <f t="shared" ref="CJ19:CJ39" si="63">IFERROR(IF(Z19="DNS",0,IF(Z19="DNF",20,VLOOKUP(_xlfn.RANK.EQ(Z19,Z$19:Z$39,1),Ochk,2,FALSE))),0)</f>
        <v>20</v>
      </c>
      <c r="CK19" s="13">
        <f t="shared" ref="CK19:CK39" si="64">IFERROR(IF(AA19="DNS",0,IF(AA19="DNF",20,VLOOKUP(_xlfn.RANK.EQ(AA19,AA$19:AA$39,1),Ochk,2,FALSE))),0)</f>
        <v>20</v>
      </c>
      <c r="CL19" s="13">
        <f t="shared" ref="CL19:CL39" si="65">IFERROR(IF(AB19="DNS",0,IF(AB19="DNF",20,VLOOKUP(_xlfn.RANK.EQ(AB19,AB$19:AB$39,1),Ochk,2,FALSE))),0)</f>
        <v>20</v>
      </c>
      <c r="CM19" s="13">
        <f t="shared" ref="CM19:CM39" si="66">IFERROR(IF(AC19="DNS",0,IF(AC19="DNF",20,VLOOKUP(_xlfn.RANK.EQ(AC19,AC$19:AC$39,1),Ochk,2,FALSE))),0)</f>
        <v>20</v>
      </c>
      <c r="CN19" s="13">
        <f t="shared" ref="CN19:CN39" si="67">IFERROR(IF(AD19="DNS",0,IF(AD19="DNF",20,VLOOKUP(_xlfn.RANK.EQ(AD19,AD$19:AD$39,1),Ochk,2,FALSE))),0)</f>
        <v>20</v>
      </c>
      <c r="CO19" s="13">
        <f t="shared" ref="CO19:CO39" si="68">IFERROR(IF(AE19="DNS",0,IF(AE19="DNF",20,VLOOKUP(_xlfn.RANK.EQ(AE19,AE$19:AE$39,1),Ochk,2,FALSE))),0)</f>
        <v>20</v>
      </c>
      <c r="CP19" s="13">
        <f t="shared" ref="CP19:CP39" si="69">IFERROR(IF(AF19="DNS",0,IF(AF19="DNF",20,VLOOKUP(_xlfn.RANK.EQ(AF19,AF$19:AF$39,1),Ochk,2,FALSE))),0)</f>
        <v>0</v>
      </c>
      <c r="CQ19" s="13">
        <f t="shared" ref="CQ19:CQ39" si="70">IFERROR(IF(AG19="DNS",0,IF(AG19="DNF",20,VLOOKUP(_xlfn.RANK.EQ(AG19,AG$19:AG$39,1),Ochk,2,FALSE))),0)</f>
        <v>0</v>
      </c>
      <c r="CR19" s="13">
        <f t="shared" ref="CR19:CR39" si="71">IFERROR(IF(AH19="DNS",0,IF(AH19="DNF",20,VLOOKUP(_xlfn.RANK.EQ(AH19,AH$19:AH$39,1),Ochk,2,FALSE))),0)</f>
        <v>20</v>
      </c>
      <c r="CS19" s="13">
        <f t="shared" ref="CS19:CS39" si="72">IFERROR(IF(AI19="DNS",0,IF(AI19="DNF",20,VLOOKUP(_xlfn.RANK.EQ(AI19,AI$19:AI$39,1),Ochk,2,FALSE))),0)</f>
        <v>20</v>
      </c>
      <c r="CT19" s="13">
        <f t="shared" ref="CT19:CT39" si="73">IFERROR(IF(AJ19="DNS",0,IF(AJ19="DNF",20,VLOOKUP(_xlfn.RANK.EQ(AJ19,AJ$19:AJ$39,1),Ochk,2,FALSE))),0)</f>
        <v>20</v>
      </c>
      <c r="CU19" s="13">
        <f t="shared" ref="CU19:CU39" si="74">IFERROR(IF(AK19="DNS",0,IF(AK19="DNF",20,VLOOKUP(_xlfn.RANK.EQ(AK19,AK$19:AK$39,1),Ochk,2,FALSE))),0)</f>
        <v>0</v>
      </c>
      <c r="CV19" s="13">
        <f t="shared" ref="CV19:CV39" si="75">IFERROR(IF(AL19="DNS",0,IF(AL19="DNF",20,VLOOKUP(_xlfn.RANK.EQ(AL19,AL$19:AL$39,1),Ochk,2,FALSE))),0)</f>
        <v>0</v>
      </c>
      <c r="CW19" s="13">
        <f t="shared" si="5"/>
        <v>20</v>
      </c>
      <c r="CX19" s="13">
        <f t="shared" si="6"/>
        <v>0</v>
      </c>
      <c r="CY19" s="13">
        <f t="shared" si="7"/>
        <v>0</v>
      </c>
      <c r="CZ19" s="13">
        <f t="shared" si="8"/>
        <v>0</v>
      </c>
      <c r="DA19" s="13">
        <f t="shared" si="9"/>
        <v>0</v>
      </c>
      <c r="DB19" s="13">
        <f t="shared" si="10"/>
        <v>0</v>
      </c>
      <c r="DC19" s="13">
        <f t="shared" si="11"/>
        <v>0</v>
      </c>
      <c r="DD19" s="13">
        <f t="shared" si="12"/>
        <v>0</v>
      </c>
      <c r="DE19" s="13">
        <f t="shared" si="13"/>
        <v>0</v>
      </c>
      <c r="DF19" s="13">
        <f t="shared" si="14"/>
        <v>0</v>
      </c>
      <c r="DG19" s="13">
        <f t="shared" si="15"/>
        <v>0</v>
      </c>
      <c r="DH19" s="13">
        <f t="shared" si="16"/>
        <v>0</v>
      </c>
      <c r="DI19" s="13">
        <f t="shared" si="17"/>
        <v>0</v>
      </c>
      <c r="DJ19" s="13">
        <f t="shared" si="18"/>
        <v>0</v>
      </c>
      <c r="DK19" s="13">
        <f t="shared" si="19"/>
        <v>18</v>
      </c>
      <c r="DL19" s="13">
        <f t="shared" si="20"/>
        <v>20</v>
      </c>
      <c r="DM19" s="13">
        <f t="shared" si="21"/>
        <v>20</v>
      </c>
      <c r="DN19" s="13">
        <f t="shared" si="22"/>
        <v>20</v>
      </c>
      <c r="DO19" s="13">
        <f t="shared" si="23"/>
        <v>20</v>
      </c>
      <c r="DP19" s="13">
        <f t="shared" si="24"/>
        <v>20</v>
      </c>
      <c r="DQ19" s="13">
        <f t="shared" si="25"/>
        <v>20</v>
      </c>
      <c r="DR19" s="13">
        <f t="shared" si="26"/>
        <v>20</v>
      </c>
      <c r="DS19" s="13">
        <f t="shared" si="27"/>
        <v>20</v>
      </c>
      <c r="DT19" s="13">
        <f t="shared" si="28"/>
        <v>20</v>
      </c>
      <c r="DU19" s="13">
        <f t="shared" si="29"/>
        <v>0</v>
      </c>
      <c r="DV19" s="13">
        <f t="shared" si="30"/>
        <v>0</v>
      </c>
      <c r="DW19" s="13">
        <f t="shared" si="31"/>
        <v>20</v>
      </c>
      <c r="DX19" s="13">
        <f t="shared" si="32"/>
        <v>20</v>
      </c>
      <c r="DY19" s="13">
        <f t="shared" si="33"/>
        <v>20</v>
      </c>
      <c r="DZ19" s="13">
        <f t="shared" si="34"/>
        <v>0</v>
      </c>
      <c r="EA19" s="13">
        <f t="shared" si="35"/>
        <v>0</v>
      </c>
      <c r="EB19" s="13">
        <f>IF($BQ19="СХОД","СХОД",SUM($CW19:$EA19))</f>
        <v>278</v>
      </c>
      <c r="EC19" s="17">
        <f>IFERROR(IF(EB19="СХОД","-",_xlfn.RANK.EQ(EB19,EB$19:EB$39,0)),"")</f>
        <v>15</v>
      </c>
      <c r="ED19" s="17">
        <f t="shared" si="38"/>
        <v>31</v>
      </c>
    </row>
    <row r="20" spans="1:134" s="5" customFormat="1" ht="30" x14ac:dyDescent="0.25">
      <c r="A20" s="16">
        <v>302</v>
      </c>
      <c r="B20" s="11" t="s">
        <v>272</v>
      </c>
      <c r="C20" s="74" t="s">
        <v>273</v>
      </c>
      <c r="D20" s="11" t="s">
        <v>274</v>
      </c>
      <c r="E20" s="12" t="s">
        <v>275</v>
      </c>
      <c r="F20" s="11" t="s">
        <v>99</v>
      </c>
      <c r="G20" s="16">
        <f t="shared" si="0"/>
        <v>3</v>
      </c>
      <c r="H20" s="23" t="s">
        <v>116</v>
      </c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>
        <v>4.8577546296296294E-3</v>
      </c>
      <c r="W20" s="23"/>
      <c r="X20" s="23">
        <v>7.9861111111111122E-3</v>
      </c>
      <c r="Y20" s="23">
        <v>2.6620370370370374E-3</v>
      </c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>
        <v>10</v>
      </c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>
        <f t="shared" si="45"/>
        <v>20</v>
      </c>
      <c r="BS20" s="13">
        <f t="shared" si="46"/>
        <v>0</v>
      </c>
      <c r="BT20" s="13">
        <f t="shared" si="47"/>
        <v>0</v>
      </c>
      <c r="BU20" s="13">
        <f t="shared" si="48"/>
        <v>0</v>
      </c>
      <c r="BV20" s="13">
        <f t="shared" si="49"/>
        <v>0</v>
      </c>
      <c r="BW20" s="13">
        <f t="shared" si="50"/>
        <v>0</v>
      </c>
      <c r="BX20" s="13">
        <f t="shared" si="51"/>
        <v>0</v>
      </c>
      <c r="BY20" s="13">
        <f t="shared" si="52"/>
        <v>0</v>
      </c>
      <c r="BZ20" s="13">
        <f t="shared" si="53"/>
        <v>0</v>
      </c>
      <c r="CA20" s="13">
        <f t="shared" si="54"/>
        <v>0</v>
      </c>
      <c r="CB20" s="13">
        <f t="shared" si="55"/>
        <v>0</v>
      </c>
      <c r="CC20" s="13">
        <f t="shared" si="56"/>
        <v>0</v>
      </c>
      <c r="CD20" s="13">
        <f t="shared" si="57"/>
        <v>0</v>
      </c>
      <c r="CE20" s="13">
        <f t="shared" si="58"/>
        <v>0</v>
      </c>
      <c r="CF20" s="13">
        <f t="shared" si="59"/>
        <v>72</v>
      </c>
      <c r="CG20" s="13">
        <f t="shared" si="60"/>
        <v>0</v>
      </c>
      <c r="CH20" s="13">
        <f t="shared" si="61"/>
        <v>95</v>
      </c>
      <c r="CI20" s="13">
        <f t="shared" si="62"/>
        <v>84</v>
      </c>
      <c r="CJ20" s="13">
        <f t="shared" si="63"/>
        <v>0</v>
      </c>
      <c r="CK20" s="13">
        <f t="shared" si="64"/>
        <v>0</v>
      </c>
      <c r="CL20" s="13">
        <f t="shared" si="65"/>
        <v>0</v>
      </c>
      <c r="CM20" s="13">
        <f t="shared" si="66"/>
        <v>0</v>
      </c>
      <c r="CN20" s="13">
        <f t="shared" si="67"/>
        <v>0</v>
      </c>
      <c r="CO20" s="13">
        <f t="shared" si="68"/>
        <v>0</v>
      </c>
      <c r="CP20" s="13">
        <f t="shared" si="69"/>
        <v>0</v>
      </c>
      <c r="CQ20" s="13">
        <f t="shared" si="70"/>
        <v>0</v>
      </c>
      <c r="CR20" s="13">
        <f t="shared" si="71"/>
        <v>0</v>
      </c>
      <c r="CS20" s="13">
        <f t="shared" si="72"/>
        <v>0</v>
      </c>
      <c r="CT20" s="13">
        <f t="shared" si="73"/>
        <v>0</v>
      </c>
      <c r="CU20" s="13">
        <f t="shared" si="74"/>
        <v>0</v>
      </c>
      <c r="CV20" s="13">
        <f t="shared" si="75"/>
        <v>0</v>
      </c>
      <c r="CW20" s="13">
        <f t="shared" si="5"/>
        <v>20</v>
      </c>
      <c r="CX20" s="13">
        <f t="shared" si="6"/>
        <v>0</v>
      </c>
      <c r="CY20" s="13">
        <f t="shared" si="7"/>
        <v>0</v>
      </c>
      <c r="CZ20" s="13">
        <f t="shared" si="8"/>
        <v>0</v>
      </c>
      <c r="DA20" s="13">
        <f t="shared" si="9"/>
        <v>0</v>
      </c>
      <c r="DB20" s="13">
        <f t="shared" si="10"/>
        <v>0</v>
      </c>
      <c r="DC20" s="13">
        <f t="shared" si="11"/>
        <v>0</v>
      </c>
      <c r="DD20" s="13">
        <f t="shared" si="12"/>
        <v>0</v>
      </c>
      <c r="DE20" s="13">
        <f t="shared" si="13"/>
        <v>0</v>
      </c>
      <c r="DF20" s="13">
        <f t="shared" si="14"/>
        <v>0</v>
      </c>
      <c r="DG20" s="13">
        <f t="shared" si="15"/>
        <v>0</v>
      </c>
      <c r="DH20" s="13">
        <f t="shared" si="16"/>
        <v>0</v>
      </c>
      <c r="DI20" s="13">
        <f t="shared" si="17"/>
        <v>0</v>
      </c>
      <c r="DJ20" s="13">
        <f t="shared" si="18"/>
        <v>0</v>
      </c>
      <c r="DK20" s="13">
        <f t="shared" si="19"/>
        <v>62</v>
      </c>
      <c r="DL20" s="13">
        <f t="shared" si="20"/>
        <v>0</v>
      </c>
      <c r="DM20" s="13">
        <f t="shared" si="21"/>
        <v>95</v>
      </c>
      <c r="DN20" s="13">
        <f t="shared" si="22"/>
        <v>84</v>
      </c>
      <c r="DO20" s="13">
        <f t="shared" si="23"/>
        <v>0</v>
      </c>
      <c r="DP20" s="13">
        <f t="shared" si="24"/>
        <v>0</v>
      </c>
      <c r="DQ20" s="13">
        <f t="shared" si="25"/>
        <v>0</v>
      </c>
      <c r="DR20" s="13">
        <f t="shared" si="26"/>
        <v>0</v>
      </c>
      <c r="DS20" s="13">
        <f t="shared" si="27"/>
        <v>0</v>
      </c>
      <c r="DT20" s="13">
        <f t="shared" si="28"/>
        <v>0</v>
      </c>
      <c r="DU20" s="13">
        <f t="shared" si="29"/>
        <v>0</v>
      </c>
      <c r="DV20" s="13">
        <f t="shared" si="30"/>
        <v>0</v>
      </c>
      <c r="DW20" s="13">
        <f t="shared" si="31"/>
        <v>0</v>
      </c>
      <c r="DX20" s="13">
        <f t="shared" si="32"/>
        <v>0</v>
      </c>
      <c r="DY20" s="13">
        <f t="shared" si="33"/>
        <v>0</v>
      </c>
      <c r="DZ20" s="13">
        <f t="shared" si="34"/>
        <v>0</v>
      </c>
      <c r="EA20" s="13">
        <f t="shared" si="35"/>
        <v>0</v>
      </c>
      <c r="EB20" s="13">
        <f>IF($BQ20="СХОД","СХОД",SUM($CW20:$EA20))</f>
        <v>261</v>
      </c>
      <c r="EC20" s="17">
        <f t="shared" ref="EC20:EC39" si="76">IFERROR(IF(EB20="СХОД","-",_xlfn.RANK.EQ(EB20,EB$19:EB$39,0)),"")</f>
        <v>17</v>
      </c>
      <c r="ED20" s="17">
        <f t="shared" si="38"/>
        <v>33</v>
      </c>
    </row>
    <row r="21" spans="1:134" s="5" customFormat="1" ht="30" x14ac:dyDescent="0.25">
      <c r="A21" s="16">
        <v>303</v>
      </c>
      <c r="B21" s="11" t="s">
        <v>276</v>
      </c>
      <c r="C21" s="74" t="s">
        <v>277</v>
      </c>
      <c r="D21" s="11" t="s">
        <v>278</v>
      </c>
      <c r="E21" s="12" t="s">
        <v>279</v>
      </c>
      <c r="F21" s="11" t="s">
        <v>99</v>
      </c>
      <c r="G21" s="16">
        <f t="shared" si="0"/>
        <v>3</v>
      </c>
      <c r="H21" s="23">
        <v>9.2013888888888892E-3</v>
      </c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>
        <v>1.7180555555555558E-3</v>
      </c>
      <c r="W21" s="23"/>
      <c r="X21" s="23" t="s">
        <v>116</v>
      </c>
      <c r="Y21" s="23">
        <v>1.4930555555555556E-3</v>
      </c>
      <c r="Z21" s="23">
        <v>4.8512731481481488E-3</v>
      </c>
      <c r="AA21" s="23">
        <v>2.1527777777777778E-3</v>
      </c>
      <c r="AB21" s="23">
        <v>2.9629629629629628E-3</v>
      </c>
      <c r="AC21" s="23">
        <v>2.7586805555555559E-3</v>
      </c>
      <c r="AD21" s="23">
        <v>5.1167824074074076E-3</v>
      </c>
      <c r="AE21" s="23">
        <v>2.8378472222222225E-3</v>
      </c>
      <c r="AF21" s="23">
        <v>1.9466435185185186E-3</v>
      </c>
      <c r="AG21" s="23">
        <v>4.8842592592592592E-3</v>
      </c>
      <c r="AH21" s="23">
        <v>1.1458333333333333E-3</v>
      </c>
      <c r="AI21" s="23">
        <v>2.4305555555555556E-3</v>
      </c>
      <c r="AJ21" s="23">
        <v>2.9513888888888888E-3</v>
      </c>
      <c r="AK21" s="23" t="s">
        <v>116</v>
      </c>
      <c r="AL21" s="2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>
        <v>10</v>
      </c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>
        <v>10</v>
      </c>
      <c r="BL21" s="13"/>
      <c r="BM21" s="13"/>
      <c r="BN21" s="13"/>
      <c r="BO21" s="13"/>
      <c r="BP21" s="13"/>
      <c r="BQ21" s="13"/>
      <c r="BR21" s="13">
        <f t="shared" si="45"/>
        <v>95</v>
      </c>
      <c r="BS21" s="13">
        <f t="shared" si="46"/>
        <v>0</v>
      </c>
      <c r="BT21" s="13">
        <f t="shared" si="47"/>
        <v>0</v>
      </c>
      <c r="BU21" s="13">
        <f t="shared" si="48"/>
        <v>0</v>
      </c>
      <c r="BV21" s="13">
        <f t="shared" si="49"/>
        <v>0</v>
      </c>
      <c r="BW21" s="13">
        <f t="shared" si="50"/>
        <v>0</v>
      </c>
      <c r="BX21" s="13">
        <f t="shared" si="51"/>
        <v>0</v>
      </c>
      <c r="BY21" s="13">
        <f t="shared" si="52"/>
        <v>0</v>
      </c>
      <c r="BZ21" s="13">
        <f t="shared" si="53"/>
        <v>0</v>
      </c>
      <c r="CA21" s="13">
        <f t="shared" si="54"/>
        <v>0</v>
      </c>
      <c r="CB21" s="13">
        <f t="shared" si="55"/>
        <v>0</v>
      </c>
      <c r="CC21" s="13">
        <f t="shared" si="56"/>
        <v>0</v>
      </c>
      <c r="CD21" s="13">
        <f t="shared" si="57"/>
        <v>0</v>
      </c>
      <c r="CE21" s="13">
        <f t="shared" si="58"/>
        <v>0</v>
      </c>
      <c r="CF21" s="13">
        <f t="shared" si="59"/>
        <v>100</v>
      </c>
      <c r="CG21" s="13">
        <f t="shared" si="60"/>
        <v>0</v>
      </c>
      <c r="CH21" s="13">
        <f t="shared" si="61"/>
        <v>20</v>
      </c>
      <c r="CI21" s="13">
        <f t="shared" si="62"/>
        <v>100</v>
      </c>
      <c r="CJ21" s="13">
        <f t="shared" si="63"/>
        <v>95</v>
      </c>
      <c r="CK21" s="13">
        <f t="shared" si="64"/>
        <v>100</v>
      </c>
      <c r="CL21" s="13">
        <f t="shared" si="65"/>
        <v>100</v>
      </c>
      <c r="CM21" s="13">
        <f t="shared" si="66"/>
        <v>100</v>
      </c>
      <c r="CN21" s="13">
        <f t="shared" si="67"/>
        <v>100</v>
      </c>
      <c r="CO21" s="13">
        <f t="shared" si="68"/>
        <v>81</v>
      </c>
      <c r="CP21" s="13">
        <f t="shared" si="69"/>
        <v>81</v>
      </c>
      <c r="CQ21" s="13">
        <f t="shared" si="70"/>
        <v>95</v>
      </c>
      <c r="CR21" s="13">
        <f t="shared" si="71"/>
        <v>95</v>
      </c>
      <c r="CS21" s="13">
        <f t="shared" si="72"/>
        <v>100</v>
      </c>
      <c r="CT21" s="13">
        <f t="shared" si="73"/>
        <v>100</v>
      </c>
      <c r="CU21" s="13">
        <f t="shared" si="74"/>
        <v>20</v>
      </c>
      <c r="CV21" s="13">
        <f t="shared" si="75"/>
        <v>0</v>
      </c>
      <c r="CW21" s="13">
        <f t="shared" si="5"/>
        <v>95</v>
      </c>
      <c r="CX21" s="13">
        <f t="shared" si="6"/>
        <v>0</v>
      </c>
      <c r="CY21" s="13">
        <f t="shared" si="7"/>
        <v>0</v>
      </c>
      <c r="CZ21" s="13">
        <f t="shared" si="8"/>
        <v>0</v>
      </c>
      <c r="DA21" s="13">
        <f t="shared" si="9"/>
        <v>0</v>
      </c>
      <c r="DB21" s="13">
        <f t="shared" si="10"/>
        <v>0</v>
      </c>
      <c r="DC21" s="13">
        <f t="shared" si="11"/>
        <v>0</v>
      </c>
      <c r="DD21" s="13">
        <f t="shared" si="12"/>
        <v>0</v>
      </c>
      <c r="DE21" s="13">
        <f t="shared" si="13"/>
        <v>0</v>
      </c>
      <c r="DF21" s="13">
        <f t="shared" si="14"/>
        <v>0</v>
      </c>
      <c r="DG21" s="13">
        <f t="shared" si="15"/>
        <v>0</v>
      </c>
      <c r="DH21" s="13">
        <f t="shared" si="16"/>
        <v>0</v>
      </c>
      <c r="DI21" s="13">
        <f t="shared" si="17"/>
        <v>0</v>
      </c>
      <c r="DJ21" s="13">
        <f t="shared" si="18"/>
        <v>0</v>
      </c>
      <c r="DK21" s="13">
        <f t="shared" si="19"/>
        <v>90</v>
      </c>
      <c r="DL21" s="13">
        <f t="shared" si="20"/>
        <v>0</v>
      </c>
      <c r="DM21" s="13">
        <f t="shared" si="21"/>
        <v>20</v>
      </c>
      <c r="DN21" s="13">
        <f t="shared" si="22"/>
        <v>100</v>
      </c>
      <c r="DO21" s="13">
        <f t="shared" si="23"/>
        <v>95</v>
      </c>
      <c r="DP21" s="13">
        <f t="shared" si="24"/>
        <v>100</v>
      </c>
      <c r="DQ21" s="13">
        <f t="shared" si="25"/>
        <v>100</v>
      </c>
      <c r="DR21" s="13">
        <f t="shared" si="26"/>
        <v>100</v>
      </c>
      <c r="DS21" s="13">
        <f t="shared" si="27"/>
        <v>100</v>
      </c>
      <c r="DT21" s="13">
        <f t="shared" si="28"/>
        <v>81</v>
      </c>
      <c r="DU21" s="13">
        <f t="shared" si="29"/>
        <v>81</v>
      </c>
      <c r="DV21" s="13">
        <f t="shared" si="30"/>
        <v>85</v>
      </c>
      <c r="DW21" s="13">
        <f t="shared" si="31"/>
        <v>95</v>
      </c>
      <c r="DX21" s="13">
        <f t="shared" si="32"/>
        <v>100</v>
      </c>
      <c r="DY21" s="13">
        <f t="shared" si="33"/>
        <v>100</v>
      </c>
      <c r="DZ21" s="13">
        <f t="shared" si="34"/>
        <v>20</v>
      </c>
      <c r="EA21" s="13">
        <f t="shared" si="35"/>
        <v>0</v>
      </c>
      <c r="EB21" s="13">
        <f t="shared" si="36"/>
        <v>1362</v>
      </c>
      <c r="EC21" s="17">
        <f t="shared" si="76"/>
        <v>1</v>
      </c>
      <c r="ED21" s="17">
        <f t="shared" si="38"/>
        <v>4</v>
      </c>
    </row>
    <row r="22" spans="1:134" s="5" customFormat="1" ht="30" x14ac:dyDescent="0.25">
      <c r="A22" s="16">
        <v>304</v>
      </c>
      <c r="B22" s="11" t="s">
        <v>280</v>
      </c>
      <c r="C22" s="74"/>
      <c r="D22" s="11" t="s">
        <v>295</v>
      </c>
      <c r="E22" s="12" t="s">
        <v>281</v>
      </c>
      <c r="F22" s="11" t="s">
        <v>99</v>
      </c>
      <c r="G22" s="16">
        <f t="shared" si="0"/>
        <v>3</v>
      </c>
      <c r="H22" s="23" t="s">
        <v>116</v>
      </c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 t="s">
        <v>116</v>
      </c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>
        <f t="shared" si="45"/>
        <v>20</v>
      </c>
      <c r="BS22" s="13">
        <f t="shared" si="46"/>
        <v>0</v>
      </c>
      <c r="BT22" s="13">
        <f t="shared" si="47"/>
        <v>0</v>
      </c>
      <c r="BU22" s="13">
        <f t="shared" si="48"/>
        <v>0</v>
      </c>
      <c r="BV22" s="13">
        <f t="shared" si="49"/>
        <v>0</v>
      </c>
      <c r="BW22" s="13">
        <f t="shared" si="50"/>
        <v>0</v>
      </c>
      <c r="BX22" s="13">
        <f t="shared" si="51"/>
        <v>0</v>
      </c>
      <c r="BY22" s="13">
        <f t="shared" si="52"/>
        <v>0</v>
      </c>
      <c r="BZ22" s="13">
        <f t="shared" si="53"/>
        <v>0</v>
      </c>
      <c r="CA22" s="13">
        <f t="shared" si="54"/>
        <v>0</v>
      </c>
      <c r="CB22" s="13">
        <f t="shared" si="55"/>
        <v>0</v>
      </c>
      <c r="CC22" s="13">
        <f t="shared" si="56"/>
        <v>0</v>
      </c>
      <c r="CD22" s="13">
        <f t="shared" si="57"/>
        <v>0</v>
      </c>
      <c r="CE22" s="13">
        <f t="shared" si="58"/>
        <v>0</v>
      </c>
      <c r="CF22" s="13">
        <f t="shared" si="59"/>
        <v>0</v>
      </c>
      <c r="CG22" s="13">
        <f t="shared" si="60"/>
        <v>0</v>
      </c>
      <c r="CH22" s="13">
        <f t="shared" si="61"/>
        <v>0</v>
      </c>
      <c r="CI22" s="13">
        <f t="shared" si="62"/>
        <v>20</v>
      </c>
      <c r="CJ22" s="13">
        <f t="shared" si="63"/>
        <v>0</v>
      </c>
      <c r="CK22" s="13">
        <f t="shared" si="64"/>
        <v>0</v>
      </c>
      <c r="CL22" s="13">
        <f t="shared" si="65"/>
        <v>0</v>
      </c>
      <c r="CM22" s="13">
        <f t="shared" si="66"/>
        <v>0</v>
      </c>
      <c r="CN22" s="13">
        <f t="shared" si="67"/>
        <v>0</v>
      </c>
      <c r="CO22" s="13">
        <f t="shared" si="68"/>
        <v>0</v>
      </c>
      <c r="CP22" s="13">
        <f t="shared" si="69"/>
        <v>0</v>
      </c>
      <c r="CQ22" s="13">
        <f t="shared" si="70"/>
        <v>0</v>
      </c>
      <c r="CR22" s="13">
        <f t="shared" si="71"/>
        <v>0</v>
      </c>
      <c r="CS22" s="13">
        <f t="shared" si="72"/>
        <v>0</v>
      </c>
      <c r="CT22" s="13">
        <f t="shared" si="73"/>
        <v>0</v>
      </c>
      <c r="CU22" s="13">
        <f t="shared" si="74"/>
        <v>0</v>
      </c>
      <c r="CV22" s="13">
        <f t="shared" si="75"/>
        <v>0</v>
      </c>
      <c r="CW22" s="13">
        <f t="shared" si="5"/>
        <v>20</v>
      </c>
      <c r="CX22" s="13">
        <f t="shared" si="6"/>
        <v>0</v>
      </c>
      <c r="CY22" s="13">
        <f t="shared" si="7"/>
        <v>0</v>
      </c>
      <c r="CZ22" s="13">
        <f t="shared" si="8"/>
        <v>0</v>
      </c>
      <c r="DA22" s="13">
        <f t="shared" si="9"/>
        <v>0</v>
      </c>
      <c r="DB22" s="13">
        <f t="shared" si="10"/>
        <v>0</v>
      </c>
      <c r="DC22" s="13">
        <f t="shared" si="11"/>
        <v>0</v>
      </c>
      <c r="DD22" s="13">
        <f t="shared" si="12"/>
        <v>0</v>
      </c>
      <c r="DE22" s="13">
        <f t="shared" si="13"/>
        <v>0</v>
      </c>
      <c r="DF22" s="13">
        <f t="shared" si="14"/>
        <v>0</v>
      </c>
      <c r="DG22" s="13">
        <f t="shared" si="15"/>
        <v>0</v>
      </c>
      <c r="DH22" s="13">
        <f t="shared" si="16"/>
        <v>0</v>
      </c>
      <c r="DI22" s="13">
        <f t="shared" si="17"/>
        <v>0</v>
      </c>
      <c r="DJ22" s="13">
        <f t="shared" si="18"/>
        <v>0</v>
      </c>
      <c r="DK22" s="13">
        <f t="shared" si="19"/>
        <v>0</v>
      </c>
      <c r="DL22" s="13">
        <f t="shared" si="20"/>
        <v>0</v>
      </c>
      <c r="DM22" s="13">
        <f t="shared" si="21"/>
        <v>0</v>
      </c>
      <c r="DN22" s="13">
        <f t="shared" si="22"/>
        <v>20</v>
      </c>
      <c r="DO22" s="13">
        <f t="shared" si="23"/>
        <v>0</v>
      </c>
      <c r="DP22" s="13">
        <f t="shared" si="24"/>
        <v>0</v>
      </c>
      <c r="DQ22" s="13">
        <f t="shared" si="25"/>
        <v>0</v>
      </c>
      <c r="DR22" s="13">
        <f t="shared" si="26"/>
        <v>0</v>
      </c>
      <c r="DS22" s="13">
        <f t="shared" si="27"/>
        <v>0</v>
      </c>
      <c r="DT22" s="13">
        <f t="shared" si="28"/>
        <v>0</v>
      </c>
      <c r="DU22" s="13">
        <f t="shared" si="29"/>
        <v>0</v>
      </c>
      <c r="DV22" s="13">
        <f t="shared" si="30"/>
        <v>0</v>
      </c>
      <c r="DW22" s="13">
        <f t="shared" si="31"/>
        <v>0</v>
      </c>
      <c r="DX22" s="13">
        <f t="shared" si="32"/>
        <v>0</v>
      </c>
      <c r="DY22" s="13">
        <f t="shared" si="33"/>
        <v>0</v>
      </c>
      <c r="DZ22" s="13">
        <f t="shared" si="34"/>
        <v>0</v>
      </c>
      <c r="EA22" s="13">
        <f t="shared" si="35"/>
        <v>0</v>
      </c>
      <c r="EB22" s="13">
        <f t="shared" si="36"/>
        <v>40</v>
      </c>
      <c r="EC22" s="17">
        <f t="shared" si="76"/>
        <v>21</v>
      </c>
      <c r="ED22" s="17">
        <f t="shared" si="38"/>
        <v>37</v>
      </c>
    </row>
    <row r="23" spans="1:134" s="5" customFormat="1" ht="30" x14ac:dyDescent="0.25">
      <c r="A23" s="16">
        <v>305</v>
      </c>
      <c r="B23" s="11" t="s">
        <v>282</v>
      </c>
      <c r="C23" s="74"/>
      <c r="D23" s="11" t="s">
        <v>296</v>
      </c>
      <c r="E23" s="12" t="s">
        <v>283</v>
      </c>
      <c r="F23" s="11" t="s">
        <v>99</v>
      </c>
      <c r="G23" s="16">
        <f t="shared" si="0"/>
        <v>3</v>
      </c>
      <c r="H23" s="23" t="s">
        <v>116</v>
      </c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>
        <v>5.1070601851851858E-3</v>
      </c>
      <c r="W23" s="23"/>
      <c r="X23" s="23"/>
      <c r="Y23" s="23" t="s">
        <v>116</v>
      </c>
      <c r="Z23" s="23"/>
      <c r="AA23" s="23" t="s">
        <v>116</v>
      </c>
      <c r="AB23" s="23" t="s">
        <v>116</v>
      </c>
      <c r="AC23" s="23"/>
      <c r="AD23" s="23" t="s">
        <v>116</v>
      </c>
      <c r="AE23" s="23" t="s">
        <v>116</v>
      </c>
      <c r="AF23" s="23" t="s">
        <v>116</v>
      </c>
      <c r="AG23" s="23" t="s">
        <v>116</v>
      </c>
      <c r="AH23" s="23" t="s">
        <v>116</v>
      </c>
      <c r="AI23" s="23" t="s">
        <v>116</v>
      </c>
      <c r="AJ23" s="23" t="s">
        <v>116</v>
      </c>
      <c r="AK23" s="23" t="s">
        <v>116</v>
      </c>
      <c r="AL23" s="2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>
        <v>30</v>
      </c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>
        <f t="shared" si="45"/>
        <v>20</v>
      </c>
      <c r="BS23" s="13">
        <f t="shared" si="46"/>
        <v>0</v>
      </c>
      <c r="BT23" s="13">
        <f t="shared" si="47"/>
        <v>0</v>
      </c>
      <c r="BU23" s="13">
        <f t="shared" si="48"/>
        <v>0</v>
      </c>
      <c r="BV23" s="13">
        <f t="shared" si="49"/>
        <v>0</v>
      </c>
      <c r="BW23" s="13">
        <f t="shared" si="50"/>
        <v>0</v>
      </c>
      <c r="BX23" s="13">
        <f t="shared" si="51"/>
        <v>0</v>
      </c>
      <c r="BY23" s="13">
        <f t="shared" si="52"/>
        <v>0</v>
      </c>
      <c r="BZ23" s="13">
        <f t="shared" si="53"/>
        <v>0</v>
      </c>
      <c r="CA23" s="13">
        <f t="shared" si="54"/>
        <v>0</v>
      </c>
      <c r="CB23" s="13">
        <f t="shared" si="55"/>
        <v>0</v>
      </c>
      <c r="CC23" s="13">
        <f t="shared" si="56"/>
        <v>0</v>
      </c>
      <c r="CD23" s="13">
        <f t="shared" si="57"/>
        <v>0</v>
      </c>
      <c r="CE23" s="13">
        <f t="shared" si="58"/>
        <v>0</v>
      </c>
      <c r="CF23" s="13">
        <f t="shared" si="59"/>
        <v>63</v>
      </c>
      <c r="CG23" s="13">
        <f t="shared" si="60"/>
        <v>0</v>
      </c>
      <c r="CH23" s="13">
        <f t="shared" si="61"/>
        <v>0</v>
      </c>
      <c r="CI23" s="13">
        <f t="shared" si="62"/>
        <v>20</v>
      </c>
      <c r="CJ23" s="13">
        <f t="shared" si="63"/>
        <v>0</v>
      </c>
      <c r="CK23" s="13">
        <f t="shared" si="64"/>
        <v>20</v>
      </c>
      <c r="CL23" s="13">
        <f t="shared" si="65"/>
        <v>20</v>
      </c>
      <c r="CM23" s="13">
        <f t="shared" si="66"/>
        <v>0</v>
      </c>
      <c r="CN23" s="13">
        <f t="shared" si="67"/>
        <v>20</v>
      </c>
      <c r="CO23" s="13">
        <f t="shared" si="68"/>
        <v>20</v>
      </c>
      <c r="CP23" s="13">
        <f t="shared" si="69"/>
        <v>20</v>
      </c>
      <c r="CQ23" s="13">
        <f t="shared" si="70"/>
        <v>20</v>
      </c>
      <c r="CR23" s="13">
        <f t="shared" si="71"/>
        <v>20</v>
      </c>
      <c r="CS23" s="13">
        <f t="shared" si="72"/>
        <v>20</v>
      </c>
      <c r="CT23" s="13">
        <f t="shared" si="73"/>
        <v>20</v>
      </c>
      <c r="CU23" s="13">
        <f t="shared" si="74"/>
        <v>20</v>
      </c>
      <c r="CV23" s="13">
        <f t="shared" si="75"/>
        <v>0</v>
      </c>
      <c r="CW23" s="13">
        <f t="shared" si="5"/>
        <v>20</v>
      </c>
      <c r="CX23" s="13">
        <f t="shared" si="6"/>
        <v>0</v>
      </c>
      <c r="CY23" s="13">
        <f t="shared" si="7"/>
        <v>0</v>
      </c>
      <c r="CZ23" s="13">
        <f t="shared" si="8"/>
        <v>0</v>
      </c>
      <c r="DA23" s="13">
        <f t="shared" si="9"/>
        <v>0</v>
      </c>
      <c r="DB23" s="13">
        <f t="shared" si="10"/>
        <v>0</v>
      </c>
      <c r="DC23" s="13">
        <f t="shared" si="11"/>
        <v>0</v>
      </c>
      <c r="DD23" s="13">
        <f t="shared" si="12"/>
        <v>0</v>
      </c>
      <c r="DE23" s="13">
        <f t="shared" si="13"/>
        <v>0</v>
      </c>
      <c r="DF23" s="13">
        <f t="shared" si="14"/>
        <v>0</v>
      </c>
      <c r="DG23" s="13">
        <f t="shared" si="15"/>
        <v>0</v>
      </c>
      <c r="DH23" s="13">
        <f t="shared" si="16"/>
        <v>0</v>
      </c>
      <c r="DI23" s="13">
        <f t="shared" si="17"/>
        <v>0</v>
      </c>
      <c r="DJ23" s="13">
        <f t="shared" si="18"/>
        <v>0</v>
      </c>
      <c r="DK23" s="13">
        <f t="shared" si="19"/>
        <v>33</v>
      </c>
      <c r="DL23" s="13">
        <f t="shared" si="20"/>
        <v>0</v>
      </c>
      <c r="DM23" s="13">
        <f t="shared" si="21"/>
        <v>0</v>
      </c>
      <c r="DN23" s="13">
        <f t="shared" si="22"/>
        <v>20</v>
      </c>
      <c r="DO23" s="13">
        <f t="shared" si="23"/>
        <v>0</v>
      </c>
      <c r="DP23" s="13">
        <f t="shared" si="24"/>
        <v>20</v>
      </c>
      <c r="DQ23" s="13">
        <f t="shared" si="25"/>
        <v>20</v>
      </c>
      <c r="DR23" s="13">
        <f t="shared" si="26"/>
        <v>0</v>
      </c>
      <c r="DS23" s="13">
        <f t="shared" si="27"/>
        <v>20</v>
      </c>
      <c r="DT23" s="13">
        <f t="shared" si="28"/>
        <v>20</v>
      </c>
      <c r="DU23" s="13">
        <f t="shared" si="29"/>
        <v>20</v>
      </c>
      <c r="DV23" s="13">
        <f t="shared" si="30"/>
        <v>20</v>
      </c>
      <c r="DW23" s="13">
        <f t="shared" si="31"/>
        <v>20</v>
      </c>
      <c r="DX23" s="13">
        <f t="shared" si="32"/>
        <v>20</v>
      </c>
      <c r="DY23" s="13">
        <f t="shared" si="33"/>
        <v>20</v>
      </c>
      <c r="DZ23" s="13">
        <f t="shared" si="34"/>
        <v>20</v>
      </c>
      <c r="EA23" s="13">
        <f t="shared" si="35"/>
        <v>0</v>
      </c>
      <c r="EB23" s="13">
        <f t="shared" si="36"/>
        <v>273</v>
      </c>
      <c r="EC23" s="17">
        <f t="shared" si="76"/>
        <v>16</v>
      </c>
      <c r="ED23" s="17">
        <f t="shared" si="38"/>
        <v>32</v>
      </c>
    </row>
    <row r="24" spans="1:134" s="5" customFormat="1" ht="30" x14ac:dyDescent="0.25">
      <c r="A24" s="16">
        <v>306</v>
      </c>
      <c r="B24" s="11" t="s">
        <v>284</v>
      </c>
      <c r="C24" s="74"/>
      <c r="D24" s="11" t="s">
        <v>285</v>
      </c>
      <c r="E24" s="12" t="s">
        <v>257</v>
      </c>
      <c r="F24" s="11" t="s">
        <v>99</v>
      </c>
      <c r="G24" s="16">
        <f t="shared" si="0"/>
        <v>3</v>
      </c>
      <c r="H24" s="23">
        <v>8.3333333333333332E-3</v>
      </c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>
        <v>3.3120370370370369E-3</v>
      </c>
      <c r="W24" s="23" t="s">
        <v>116</v>
      </c>
      <c r="X24" s="23"/>
      <c r="Y24" s="23">
        <v>4.0046296296296297E-3</v>
      </c>
      <c r="Z24" s="23">
        <v>9.1030092592592586E-3</v>
      </c>
      <c r="AA24" s="23">
        <v>4.7800925925925919E-3</v>
      </c>
      <c r="AB24" s="23">
        <v>6.7129629629629622E-3</v>
      </c>
      <c r="AC24" s="23">
        <v>3.5127314814814817E-3</v>
      </c>
      <c r="AD24" s="23">
        <v>9.7663194444444438E-3</v>
      </c>
      <c r="AE24" s="23">
        <v>6.0528935185185173E-3</v>
      </c>
      <c r="AF24" s="23">
        <v>1.7600694444444443E-3</v>
      </c>
      <c r="AG24" s="23">
        <v>8.8773148148148153E-3</v>
      </c>
      <c r="AH24" s="23">
        <v>2.7083333333333334E-3</v>
      </c>
      <c r="AI24" s="23">
        <v>3.2638888888888891E-3</v>
      </c>
      <c r="AJ24" s="23">
        <v>3.9699074074074072E-3</v>
      </c>
      <c r="AK24" s="23" t="s">
        <v>116</v>
      </c>
      <c r="AL24" s="2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>
        <v>20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>
        <f t="shared" si="45"/>
        <v>100</v>
      </c>
      <c r="BS24" s="13">
        <f t="shared" si="46"/>
        <v>0</v>
      </c>
      <c r="BT24" s="13">
        <f t="shared" si="47"/>
        <v>0</v>
      </c>
      <c r="BU24" s="13">
        <f t="shared" si="48"/>
        <v>0</v>
      </c>
      <c r="BV24" s="13">
        <f t="shared" si="49"/>
        <v>0</v>
      </c>
      <c r="BW24" s="13">
        <f t="shared" si="50"/>
        <v>0</v>
      </c>
      <c r="BX24" s="13">
        <f t="shared" si="51"/>
        <v>0</v>
      </c>
      <c r="BY24" s="13">
        <f t="shared" si="52"/>
        <v>0</v>
      </c>
      <c r="BZ24" s="13">
        <f t="shared" si="53"/>
        <v>0</v>
      </c>
      <c r="CA24" s="13">
        <f t="shared" si="54"/>
        <v>0</v>
      </c>
      <c r="CB24" s="13">
        <f t="shared" si="55"/>
        <v>0</v>
      </c>
      <c r="CC24" s="13">
        <f t="shared" si="56"/>
        <v>0</v>
      </c>
      <c r="CD24" s="13">
        <f t="shared" si="57"/>
        <v>0</v>
      </c>
      <c r="CE24" s="13">
        <f t="shared" si="58"/>
        <v>0</v>
      </c>
      <c r="CF24" s="13">
        <f t="shared" si="59"/>
        <v>84</v>
      </c>
      <c r="CG24" s="13">
        <f t="shared" si="60"/>
        <v>20</v>
      </c>
      <c r="CH24" s="13">
        <f t="shared" si="61"/>
        <v>0</v>
      </c>
      <c r="CI24" s="13">
        <f t="shared" si="62"/>
        <v>66</v>
      </c>
      <c r="CJ24" s="13">
        <f t="shared" si="63"/>
        <v>84</v>
      </c>
      <c r="CK24" s="13">
        <f t="shared" si="64"/>
        <v>87</v>
      </c>
      <c r="CL24" s="13">
        <f t="shared" si="65"/>
        <v>87</v>
      </c>
      <c r="CM24" s="13">
        <f t="shared" si="66"/>
        <v>95</v>
      </c>
      <c r="CN24" s="13">
        <f t="shared" si="67"/>
        <v>87</v>
      </c>
      <c r="CO24" s="13">
        <f t="shared" si="68"/>
        <v>69</v>
      </c>
      <c r="CP24" s="13">
        <f t="shared" si="69"/>
        <v>87</v>
      </c>
      <c r="CQ24" s="13">
        <f t="shared" si="70"/>
        <v>84</v>
      </c>
      <c r="CR24" s="13">
        <f t="shared" si="71"/>
        <v>75</v>
      </c>
      <c r="CS24" s="13">
        <f t="shared" si="72"/>
        <v>95</v>
      </c>
      <c r="CT24" s="13">
        <f t="shared" si="73"/>
        <v>90</v>
      </c>
      <c r="CU24" s="13">
        <f t="shared" si="74"/>
        <v>20</v>
      </c>
      <c r="CV24" s="13">
        <f t="shared" si="75"/>
        <v>0</v>
      </c>
      <c r="CW24" s="13">
        <f t="shared" si="5"/>
        <v>100</v>
      </c>
      <c r="CX24" s="13">
        <f t="shared" si="6"/>
        <v>0</v>
      </c>
      <c r="CY24" s="13">
        <f t="shared" si="7"/>
        <v>0</v>
      </c>
      <c r="CZ24" s="13">
        <f t="shared" si="8"/>
        <v>0</v>
      </c>
      <c r="DA24" s="13">
        <f t="shared" si="9"/>
        <v>0</v>
      </c>
      <c r="DB24" s="13">
        <f t="shared" si="10"/>
        <v>0</v>
      </c>
      <c r="DC24" s="13">
        <f t="shared" si="11"/>
        <v>0</v>
      </c>
      <c r="DD24" s="13">
        <f t="shared" si="12"/>
        <v>0</v>
      </c>
      <c r="DE24" s="13">
        <f t="shared" si="13"/>
        <v>0</v>
      </c>
      <c r="DF24" s="13">
        <f t="shared" si="14"/>
        <v>0</v>
      </c>
      <c r="DG24" s="13">
        <f t="shared" si="15"/>
        <v>0</v>
      </c>
      <c r="DH24" s="13">
        <f t="shared" si="16"/>
        <v>0</v>
      </c>
      <c r="DI24" s="13">
        <f t="shared" si="17"/>
        <v>0</v>
      </c>
      <c r="DJ24" s="13">
        <f t="shared" si="18"/>
        <v>0</v>
      </c>
      <c r="DK24" s="13">
        <f t="shared" si="19"/>
        <v>84</v>
      </c>
      <c r="DL24" s="13">
        <f t="shared" si="20"/>
        <v>20</v>
      </c>
      <c r="DM24" s="13">
        <f t="shared" si="21"/>
        <v>0</v>
      </c>
      <c r="DN24" s="13">
        <f t="shared" si="22"/>
        <v>66</v>
      </c>
      <c r="DO24" s="13">
        <f t="shared" si="23"/>
        <v>84</v>
      </c>
      <c r="DP24" s="13">
        <f t="shared" si="24"/>
        <v>67</v>
      </c>
      <c r="DQ24" s="13">
        <f t="shared" si="25"/>
        <v>87</v>
      </c>
      <c r="DR24" s="13">
        <f t="shared" si="26"/>
        <v>95</v>
      </c>
      <c r="DS24" s="13">
        <f t="shared" si="27"/>
        <v>87</v>
      </c>
      <c r="DT24" s="13">
        <f t="shared" si="28"/>
        <v>69</v>
      </c>
      <c r="DU24" s="13">
        <f t="shared" si="29"/>
        <v>87</v>
      </c>
      <c r="DV24" s="13">
        <f t="shared" si="30"/>
        <v>84</v>
      </c>
      <c r="DW24" s="13">
        <f t="shared" si="31"/>
        <v>75</v>
      </c>
      <c r="DX24" s="13">
        <f t="shared" si="32"/>
        <v>95</v>
      </c>
      <c r="DY24" s="13">
        <f t="shared" si="33"/>
        <v>90</v>
      </c>
      <c r="DZ24" s="13">
        <f t="shared" si="34"/>
        <v>20</v>
      </c>
      <c r="EA24" s="13">
        <f t="shared" si="35"/>
        <v>0</v>
      </c>
      <c r="EB24" s="13">
        <f t="shared" si="36"/>
        <v>1210</v>
      </c>
      <c r="EC24" s="17">
        <f t="shared" si="76"/>
        <v>3</v>
      </c>
      <c r="ED24" s="17">
        <f t="shared" si="38"/>
        <v>8</v>
      </c>
    </row>
    <row r="25" spans="1:134" s="5" customFormat="1" ht="30" x14ac:dyDescent="0.25">
      <c r="A25" s="16">
        <v>307</v>
      </c>
      <c r="B25" s="11" t="s">
        <v>286</v>
      </c>
      <c r="C25" s="74" t="s">
        <v>287</v>
      </c>
      <c r="D25" s="11" t="s">
        <v>288</v>
      </c>
      <c r="E25" s="12" t="s">
        <v>279</v>
      </c>
      <c r="F25" s="11" t="s">
        <v>99</v>
      </c>
      <c r="G25" s="16">
        <f t="shared" si="0"/>
        <v>3</v>
      </c>
      <c r="H25" s="23" t="s">
        <v>116</v>
      </c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>
        <v>9.3749999999999997E-3</v>
      </c>
      <c r="Y25" s="23">
        <v>4.8032407407407407E-3</v>
      </c>
      <c r="Z25" s="23">
        <v>5.9262731481481484E-3</v>
      </c>
      <c r="AA25" s="23"/>
      <c r="AB25" s="23">
        <v>6.9328703703703696E-3</v>
      </c>
      <c r="AC25" s="23"/>
      <c r="AD25" s="23">
        <v>8.3001157407407416E-3</v>
      </c>
      <c r="AE25" s="23">
        <v>3.6209490740740737E-3</v>
      </c>
      <c r="AF25" s="23">
        <v>1.4037037037037037E-3</v>
      </c>
      <c r="AG25" s="23" t="s">
        <v>116</v>
      </c>
      <c r="AH25" s="23">
        <v>4.1435185185185186E-3</v>
      </c>
      <c r="AI25" s="23"/>
      <c r="AJ25" s="23" t="s">
        <v>116</v>
      </c>
      <c r="AK25" s="23" t="s">
        <v>116</v>
      </c>
      <c r="AL25" s="2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>
        <v>10</v>
      </c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>
        <f t="shared" si="45"/>
        <v>20</v>
      </c>
      <c r="BS25" s="13">
        <f t="shared" si="46"/>
        <v>0</v>
      </c>
      <c r="BT25" s="13">
        <f t="shared" si="47"/>
        <v>0</v>
      </c>
      <c r="BU25" s="13">
        <f t="shared" si="48"/>
        <v>0</v>
      </c>
      <c r="BV25" s="13">
        <f t="shared" si="49"/>
        <v>0</v>
      </c>
      <c r="BW25" s="13">
        <f t="shared" si="50"/>
        <v>0</v>
      </c>
      <c r="BX25" s="13">
        <f t="shared" si="51"/>
        <v>0</v>
      </c>
      <c r="BY25" s="13">
        <f t="shared" si="52"/>
        <v>0</v>
      </c>
      <c r="BZ25" s="13">
        <f t="shared" si="53"/>
        <v>0</v>
      </c>
      <c r="CA25" s="13">
        <f t="shared" si="54"/>
        <v>0</v>
      </c>
      <c r="CB25" s="13">
        <f t="shared" si="55"/>
        <v>0</v>
      </c>
      <c r="CC25" s="13">
        <f t="shared" si="56"/>
        <v>0</v>
      </c>
      <c r="CD25" s="13">
        <f t="shared" si="57"/>
        <v>0</v>
      </c>
      <c r="CE25" s="13">
        <f t="shared" si="58"/>
        <v>0</v>
      </c>
      <c r="CF25" s="13">
        <f t="shared" si="59"/>
        <v>0</v>
      </c>
      <c r="CG25" s="13">
        <f t="shared" si="60"/>
        <v>0</v>
      </c>
      <c r="CH25" s="13">
        <f t="shared" si="61"/>
        <v>90</v>
      </c>
      <c r="CI25" s="13">
        <f t="shared" si="62"/>
        <v>60</v>
      </c>
      <c r="CJ25" s="13">
        <f t="shared" si="63"/>
        <v>90</v>
      </c>
      <c r="CK25" s="13">
        <f t="shared" si="64"/>
        <v>0</v>
      </c>
      <c r="CL25" s="13">
        <f t="shared" si="65"/>
        <v>84</v>
      </c>
      <c r="CM25" s="13">
        <f t="shared" si="66"/>
        <v>0</v>
      </c>
      <c r="CN25" s="13">
        <f t="shared" si="67"/>
        <v>95</v>
      </c>
      <c r="CO25" s="13">
        <f t="shared" si="68"/>
        <v>75</v>
      </c>
      <c r="CP25" s="13">
        <f t="shared" si="69"/>
        <v>90</v>
      </c>
      <c r="CQ25" s="13">
        <f t="shared" si="70"/>
        <v>20</v>
      </c>
      <c r="CR25" s="13">
        <f t="shared" si="71"/>
        <v>69</v>
      </c>
      <c r="CS25" s="13">
        <f t="shared" si="72"/>
        <v>0</v>
      </c>
      <c r="CT25" s="13">
        <f t="shared" si="73"/>
        <v>20</v>
      </c>
      <c r="CU25" s="13">
        <f t="shared" si="74"/>
        <v>20</v>
      </c>
      <c r="CV25" s="13">
        <f t="shared" si="75"/>
        <v>0</v>
      </c>
      <c r="CW25" s="13">
        <f t="shared" si="5"/>
        <v>20</v>
      </c>
      <c r="CX25" s="13">
        <f t="shared" si="6"/>
        <v>0</v>
      </c>
      <c r="CY25" s="13">
        <f t="shared" si="7"/>
        <v>0</v>
      </c>
      <c r="CZ25" s="13">
        <f t="shared" si="8"/>
        <v>0</v>
      </c>
      <c r="DA25" s="13">
        <f t="shared" si="9"/>
        <v>0</v>
      </c>
      <c r="DB25" s="13">
        <f t="shared" si="10"/>
        <v>0</v>
      </c>
      <c r="DC25" s="13">
        <f t="shared" si="11"/>
        <v>0</v>
      </c>
      <c r="DD25" s="13">
        <f t="shared" si="12"/>
        <v>0</v>
      </c>
      <c r="DE25" s="13">
        <f t="shared" si="13"/>
        <v>0</v>
      </c>
      <c r="DF25" s="13">
        <f t="shared" si="14"/>
        <v>0</v>
      </c>
      <c r="DG25" s="13">
        <f t="shared" si="15"/>
        <v>0</v>
      </c>
      <c r="DH25" s="13">
        <f t="shared" si="16"/>
        <v>0</v>
      </c>
      <c r="DI25" s="13">
        <f t="shared" si="17"/>
        <v>0</v>
      </c>
      <c r="DJ25" s="13">
        <f t="shared" si="18"/>
        <v>0</v>
      </c>
      <c r="DK25" s="13">
        <f t="shared" si="19"/>
        <v>0</v>
      </c>
      <c r="DL25" s="13">
        <f t="shared" si="20"/>
        <v>0</v>
      </c>
      <c r="DM25" s="13">
        <f t="shared" si="21"/>
        <v>80</v>
      </c>
      <c r="DN25" s="13">
        <f t="shared" si="22"/>
        <v>60</v>
      </c>
      <c r="DO25" s="13">
        <f t="shared" si="23"/>
        <v>90</v>
      </c>
      <c r="DP25" s="13">
        <f t="shared" si="24"/>
        <v>0</v>
      </c>
      <c r="DQ25" s="13">
        <f t="shared" si="25"/>
        <v>84</v>
      </c>
      <c r="DR25" s="13">
        <f t="shared" si="26"/>
        <v>0</v>
      </c>
      <c r="DS25" s="13">
        <f t="shared" si="27"/>
        <v>95</v>
      </c>
      <c r="DT25" s="13">
        <f t="shared" si="28"/>
        <v>75</v>
      </c>
      <c r="DU25" s="13">
        <f t="shared" si="29"/>
        <v>90</v>
      </c>
      <c r="DV25" s="13">
        <f t="shared" si="30"/>
        <v>20</v>
      </c>
      <c r="DW25" s="13">
        <f t="shared" si="31"/>
        <v>69</v>
      </c>
      <c r="DX25" s="13">
        <f t="shared" si="32"/>
        <v>0</v>
      </c>
      <c r="DY25" s="13">
        <f t="shared" si="33"/>
        <v>20</v>
      </c>
      <c r="DZ25" s="13">
        <f t="shared" si="34"/>
        <v>20</v>
      </c>
      <c r="EA25" s="13">
        <f t="shared" si="35"/>
        <v>0</v>
      </c>
      <c r="EB25" s="13">
        <f t="shared" si="36"/>
        <v>723</v>
      </c>
      <c r="EC25" s="17">
        <f t="shared" si="76"/>
        <v>6</v>
      </c>
      <c r="ED25" s="17">
        <f t="shared" si="38"/>
        <v>15</v>
      </c>
    </row>
    <row r="26" spans="1:134" s="5" customFormat="1" ht="30" x14ac:dyDescent="0.25">
      <c r="A26" s="16">
        <v>308</v>
      </c>
      <c r="B26" s="11" t="s">
        <v>289</v>
      </c>
      <c r="C26" s="74" t="s">
        <v>290</v>
      </c>
      <c r="D26" s="11" t="s">
        <v>291</v>
      </c>
      <c r="E26" s="12" t="s">
        <v>292</v>
      </c>
      <c r="F26" s="11" t="s">
        <v>99</v>
      </c>
      <c r="G26" s="16">
        <f t="shared" si="0"/>
        <v>3</v>
      </c>
      <c r="H26" s="23">
        <v>1.4074074074074074E-2</v>
      </c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>
        <v>9.8025462962962953E-3</v>
      </c>
      <c r="W26" s="23">
        <v>2.7893518518518519E-3</v>
      </c>
      <c r="X26" s="23">
        <v>3.7037037037037034E-3</v>
      </c>
      <c r="Y26" s="23">
        <v>1.6782407407407406E-3</v>
      </c>
      <c r="Z26" s="23">
        <v>4.8259259259259262E-3</v>
      </c>
      <c r="AA26" s="23">
        <v>5.1736111111111115E-3</v>
      </c>
      <c r="AB26" s="23">
        <v>8.7037037037037031E-3</v>
      </c>
      <c r="AC26" s="23"/>
      <c r="AD26" s="23">
        <v>8.9799768518518518E-3</v>
      </c>
      <c r="AE26" s="23">
        <v>2.5212962962962962E-3</v>
      </c>
      <c r="AF26" s="23">
        <v>9.523148148148148E-4</v>
      </c>
      <c r="AG26" s="23">
        <v>5.8564814814814825E-3</v>
      </c>
      <c r="AH26" s="23">
        <v>1.2731481481481483E-3</v>
      </c>
      <c r="AI26" s="23">
        <v>5.7291666666666671E-3</v>
      </c>
      <c r="AJ26" s="23">
        <v>3.4490740740740745E-3</v>
      </c>
      <c r="AK26" s="23"/>
      <c r="AL26" s="2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>
        <v>10</v>
      </c>
      <c r="BE26" s="13">
        <v>10</v>
      </c>
      <c r="BF26" s="13"/>
      <c r="BG26" s="13"/>
      <c r="BH26" s="13"/>
      <c r="BI26" s="13"/>
      <c r="BJ26" s="13"/>
      <c r="BK26" s="13">
        <v>10</v>
      </c>
      <c r="BL26" s="13"/>
      <c r="BM26" s="13"/>
      <c r="BN26" s="13"/>
      <c r="BO26" s="13"/>
      <c r="BP26" s="13"/>
      <c r="BQ26" s="13"/>
      <c r="BR26" s="13">
        <f t="shared" si="45"/>
        <v>75</v>
      </c>
      <c r="BS26" s="13">
        <f t="shared" si="46"/>
        <v>0</v>
      </c>
      <c r="BT26" s="13">
        <f t="shared" si="47"/>
        <v>0</v>
      </c>
      <c r="BU26" s="13">
        <f t="shared" si="48"/>
        <v>0</v>
      </c>
      <c r="BV26" s="13">
        <f t="shared" si="49"/>
        <v>0</v>
      </c>
      <c r="BW26" s="13">
        <f t="shared" si="50"/>
        <v>0</v>
      </c>
      <c r="BX26" s="13">
        <f t="shared" si="51"/>
        <v>0</v>
      </c>
      <c r="BY26" s="13">
        <f t="shared" si="52"/>
        <v>0</v>
      </c>
      <c r="BZ26" s="13">
        <f t="shared" si="53"/>
        <v>0</v>
      </c>
      <c r="CA26" s="13">
        <f t="shared" si="54"/>
        <v>0</v>
      </c>
      <c r="CB26" s="13">
        <f t="shared" si="55"/>
        <v>0</v>
      </c>
      <c r="CC26" s="13">
        <f t="shared" si="56"/>
        <v>0</v>
      </c>
      <c r="CD26" s="13">
        <f t="shared" si="57"/>
        <v>0</v>
      </c>
      <c r="CE26" s="13">
        <f t="shared" si="58"/>
        <v>0</v>
      </c>
      <c r="CF26" s="13">
        <f t="shared" si="59"/>
        <v>58</v>
      </c>
      <c r="CG26" s="13">
        <f t="shared" si="60"/>
        <v>100</v>
      </c>
      <c r="CH26" s="13">
        <f t="shared" si="61"/>
        <v>100</v>
      </c>
      <c r="CI26" s="13">
        <f t="shared" si="62"/>
        <v>95</v>
      </c>
      <c r="CJ26" s="13">
        <f t="shared" si="63"/>
        <v>100</v>
      </c>
      <c r="CK26" s="13">
        <f t="shared" si="64"/>
        <v>84</v>
      </c>
      <c r="CL26" s="13">
        <f t="shared" si="65"/>
        <v>81</v>
      </c>
      <c r="CM26" s="13">
        <f t="shared" si="66"/>
        <v>0</v>
      </c>
      <c r="CN26" s="13">
        <f t="shared" si="67"/>
        <v>90</v>
      </c>
      <c r="CO26" s="13">
        <f t="shared" si="68"/>
        <v>90</v>
      </c>
      <c r="CP26" s="13">
        <f t="shared" si="69"/>
        <v>100</v>
      </c>
      <c r="CQ26" s="13">
        <f t="shared" si="70"/>
        <v>90</v>
      </c>
      <c r="CR26" s="13">
        <f t="shared" si="71"/>
        <v>90</v>
      </c>
      <c r="CS26" s="13">
        <f t="shared" si="72"/>
        <v>87</v>
      </c>
      <c r="CT26" s="13">
        <f t="shared" si="73"/>
        <v>95</v>
      </c>
      <c r="CU26" s="13">
        <f t="shared" si="74"/>
        <v>0</v>
      </c>
      <c r="CV26" s="13">
        <f t="shared" si="75"/>
        <v>0</v>
      </c>
      <c r="CW26" s="13">
        <f t="shared" si="5"/>
        <v>75</v>
      </c>
      <c r="CX26" s="13">
        <f t="shared" si="6"/>
        <v>0</v>
      </c>
      <c r="CY26" s="13">
        <f t="shared" si="7"/>
        <v>0</v>
      </c>
      <c r="CZ26" s="13">
        <f t="shared" si="8"/>
        <v>0</v>
      </c>
      <c r="DA26" s="13">
        <f t="shared" si="9"/>
        <v>0</v>
      </c>
      <c r="DB26" s="13">
        <f t="shared" si="10"/>
        <v>0</v>
      </c>
      <c r="DC26" s="13">
        <f t="shared" si="11"/>
        <v>0</v>
      </c>
      <c r="DD26" s="13">
        <f t="shared" si="12"/>
        <v>0</v>
      </c>
      <c r="DE26" s="13">
        <f t="shared" si="13"/>
        <v>0</v>
      </c>
      <c r="DF26" s="13">
        <f t="shared" si="14"/>
        <v>0</v>
      </c>
      <c r="DG26" s="13">
        <f t="shared" si="15"/>
        <v>0</v>
      </c>
      <c r="DH26" s="13">
        <f t="shared" si="16"/>
        <v>0</v>
      </c>
      <c r="DI26" s="13">
        <f t="shared" si="17"/>
        <v>0</v>
      </c>
      <c r="DJ26" s="13">
        <f t="shared" si="18"/>
        <v>0</v>
      </c>
      <c r="DK26" s="13">
        <f t="shared" si="19"/>
        <v>58</v>
      </c>
      <c r="DL26" s="13">
        <f t="shared" si="20"/>
        <v>100</v>
      </c>
      <c r="DM26" s="13">
        <f t="shared" si="21"/>
        <v>100</v>
      </c>
      <c r="DN26" s="13">
        <f t="shared" si="22"/>
        <v>95</v>
      </c>
      <c r="DO26" s="13">
        <f t="shared" si="23"/>
        <v>90</v>
      </c>
      <c r="DP26" s="13">
        <f t="shared" si="24"/>
        <v>74</v>
      </c>
      <c r="DQ26" s="13">
        <f t="shared" si="25"/>
        <v>81</v>
      </c>
      <c r="DR26" s="13">
        <f t="shared" si="26"/>
        <v>0</v>
      </c>
      <c r="DS26" s="13">
        <f t="shared" si="27"/>
        <v>90</v>
      </c>
      <c r="DT26" s="13">
        <f t="shared" si="28"/>
        <v>90</v>
      </c>
      <c r="DU26" s="13">
        <f t="shared" si="29"/>
        <v>100</v>
      </c>
      <c r="DV26" s="13">
        <f t="shared" si="30"/>
        <v>80</v>
      </c>
      <c r="DW26" s="13">
        <f t="shared" si="31"/>
        <v>90</v>
      </c>
      <c r="DX26" s="13">
        <f t="shared" si="32"/>
        <v>87</v>
      </c>
      <c r="DY26" s="13">
        <f t="shared" si="33"/>
        <v>95</v>
      </c>
      <c r="DZ26" s="13">
        <f t="shared" si="34"/>
        <v>0</v>
      </c>
      <c r="EA26" s="13">
        <f t="shared" si="35"/>
        <v>0</v>
      </c>
      <c r="EB26" s="13">
        <f t="shared" si="36"/>
        <v>1305</v>
      </c>
      <c r="EC26" s="17">
        <f>IFERROR(IF(EB26="СХОД","-",_xlfn.RANK.EQ(EB26,EB$19:EB$39,0)),"")</f>
        <v>2</v>
      </c>
      <c r="ED26" s="17">
        <f t="shared" si="38"/>
        <v>6</v>
      </c>
    </row>
    <row r="27" spans="1:134" s="5" customFormat="1" ht="30" x14ac:dyDescent="0.25">
      <c r="A27" s="16">
        <v>309</v>
      </c>
      <c r="B27" s="11" t="s">
        <v>293</v>
      </c>
      <c r="C27" s="74"/>
      <c r="D27" s="11" t="s">
        <v>295</v>
      </c>
      <c r="E27" s="12" t="s">
        <v>255</v>
      </c>
      <c r="F27" s="11" t="s">
        <v>99</v>
      </c>
      <c r="G27" s="16">
        <f t="shared" si="0"/>
        <v>3</v>
      </c>
      <c r="H27" s="23" t="s">
        <v>116</v>
      </c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W27" s="23"/>
      <c r="X27" s="23"/>
      <c r="Y27" s="23">
        <v>4.2824074074074075E-3</v>
      </c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 t="s">
        <v>116</v>
      </c>
      <c r="AL27" s="2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>
        <f t="shared" si="45"/>
        <v>20</v>
      </c>
      <c r="BS27" s="13">
        <f t="shared" si="46"/>
        <v>0</v>
      </c>
      <c r="BT27" s="13">
        <f t="shared" si="47"/>
        <v>0</v>
      </c>
      <c r="BU27" s="13">
        <f t="shared" si="48"/>
        <v>0</v>
      </c>
      <c r="BV27" s="13">
        <f t="shared" si="49"/>
        <v>0</v>
      </c>
      <c r="BW27" s="13">
        <f t="shared" si="50"/>
        <v>0</v>
      </c>
      <c r="BX27" s="13">
        <f t="shared" si="51"/>
        <v>0</v>
      </c>
      <c r="BY27" s="13">
        <f t="shared" si="52"/>
        <v>0</v>
      </c>
      <c r="BZ27" s="13">
        <f t="shared" si="53"/>
        <v>0</v>
      </c>
      <c r="CA27" s="13">
        <f t="shared" si="54"/>
        <v>0</v>
      </c>
      <c r="CB27" s="13">
        <f t="shared" si="55"/>
        <v>0</v>
      </c>
      <c r="CC27" s="13">
        <f t="shared" si="56"/>
        <v>0</v>
      </c>
      <c r="CD27" s="13">
        <f t="shared" si="57"/>
        <v>0</v>
      </c>
      <c r="CE27" s="13">
        <f t="shared" si="58"/>
        <v>0</v>
      </c>
      <c r="CF27" s="13">
        <f t="shared" si="59"/>
        <v>0</v>
      </c>
      <c r="CG27" s="13">
        <f t="shared" si="60"/>
        <v>0</v>
      </c>
      <c r="CH27" s="13">
        <f t="shared" si="61"/>
        <v>0</v>
      </c>
      <c r="CI27" s="13">
        <f t="shared" si="62"/>
        <v>63</v>
      </c>
      <c r="CJ27" s="13">
        <f t="shared" si="63"/>
        <v>0</v>
      </c>
      <c r="CK27" s="13">
        <f t="shared" si="64"/>
        <v>0</v>
      </c>
      <c r="CL27" s="13">
        <f t="shared" si="65"/>
        <v>0</v>
      </c>
      <c r="CM27" s="13">
        <f t="shared" si="66"/>
        <v>0</v>
      </c>
      <c r="CN27" s="13">
        <f t="shared" si="67"/>
        <v>0</v>
      </c>
      <c r="CO27" s="13">
        <f t="shared" si="68"/>
        <v>0</v>
      </c>
      <c r="CP27" s="13">
        <f t="shared" si="69"/>
        <v>0</v>
      </c>
      <c r="CQ27" s="13">
        <f t="shared" si="70"/>
        <v>0</v>
      </c>
      <c r="CR27" s="13">
        <f t="shared" si="71"/>
        <v>0</v>
      </c>
      <c r="CS27" s="13">
        <f t="shared" si="72"/>
        <v>0</v>
      </c>
      <c r="CT27" s="13">
        <f t="shared" si="73"/>
        <v>0</v>
      </c>
      <c r="CU27" s="13">
        <f t="shared" si="74"/>
        <v>20</v>
      </c>
      <c r="CV27" s="13">
        <f t="shared" si="75"/>
        <v>0</v>
      </c>
      <c r="CW27" s="13">
        <f t="shared" si="5"/>
        <v>20</v>
      </c>
      <c r="CX27" s="13">
        <f t="shared" si="6"/>
        <v>0</v>
      </c>
      <c r="CY27" s="13">
        <f t="shared" si="7"/>
        <v>0</v>
      </c>
      <c r="CZ27" s="13">
        <f t="shared" si="8"/>
        <v>0</v>
      </c>
      <c r="DA27" s="13">
        <f t="shared" si="9"/>
        <v>0</v>
      </c>
      <c r="DB27" s="13">
        <f t="shared" si="10"/>
        <v>0</v>
      </c>
      <c r="DC27" s="13">
        <f t="shared" si="11"/>
        <v>0</v>
      </c>
      <c r="DD27" s="13">
        <f t="shared" si="12"/>
        <v>0</v>
      </c>
      <c r="DE27" s="13">
        <f t="shared" si="13"/>
        <v>0</v>
      </c>
      <c r="DF27" s="13">
        <f t="shared" si="14"/>
        <v>0</v>
      </c>
      <c r="DG27" s="13">
        <f t="shared" si="15"/>
        <v>0</v>
      </c>
      <c r="DH27" s="13">
        <f t="shared" si="16"/>
        <v>0</v>
      </c>
      <c r="DI27" s="13">
        <f t="shared" si="17"/>
        <v>0</v>
      </c>
      <c r="DJ27" s="13">
        <f t="shared" si="18"/>
        <v>0</v>
      </c>
      <c r="DK27" s="13">
        <f t="shared" si="19"/>
        <v>0</v>
      </c>
      <c r="DL27" s="13">
        <f t="shared" si="20"/>
        <v>0</v>
      </c>
      <c r="DM27" s="13">
        <f t="shared" si="21"/>
        <v>0</v>
      </c>
      <c r="DN27" s="13">
        <f t="shared" si="22"/>
        <v>63</v>
      </c>
      <c r="DO27" s="13">
        <f t="shared" si="23"/>
        <v>0</v>
      </c>
      <c r="DP27" s="13">
        <f t="shared" si="24"/>
        <v>0</v>
      </c>
      <c r="DQ27" s="13">
        <f t="shared" si="25"/>
        <v>0</v>
      </c>
      <c r="DR27" s="13">
        <f t="shared" si="26"/>
        <v>0</v>
      </c>
      <c r="DS27" s="13">
        <f t="shared" si="27"/>
        <v>0</v>
      </c>
      <c r="DT27" s="13">
        <f t="shared" si="28"/>
        <v>0</v>
      </c>
      <c r="DU27" s="13">
        <f t="shared" si="29"/>
        <v>0</v>
      </c>
      <c r="DV27" s="13">
        <f t="shared" si="30"/>
        <v>0</v>
      </c>
      <c r="DW27" s="13">
        <f t="shared" si="31"/>
        <v>0</v>
      </c>
      <c r="DX27" s="13">
        <f t="shared" si="32"/>
        <v>0</v>
      </c>
      <c r="DY27" s="13">
        <f t="shared" si="33"/>
        <v>0</v>
      </c>
      <c r="DZ27" s="13">
        <f t="shared" si="34"/>
        <v>20</v>
      </c>
      <c r="EA27" s="13">
        <f t="shared" si="35"/>
        <v>0</v>
      </c>
      <c r="EB27" s="13">
        <f t="shared" si="36"/>
        <v>103</v>
      </c>
      <c r="EC27" s="17">
        <f t="shared" si="76"/>
        <v>20</v>
      </c>
      <c r="ED27" s="17">
        <f t="shared" si="38"/>
        <v>36</v>
      </c>
    </row>
    <row r="28" spans="1:134" s="5" customFormat="1" ht="30" x14ac:dyDescent="0.25">
      <c r="A28" s="16">
        <v>310</v>
      </c>
      <c r="B28" s="11" t="s">
        <v>294</v>
      </c>
      <c r="C28" s="74"/>
      <c r="D28" s="11" t="s">
        <v>263</v>
      </c>
      <c r="E28" s="12" t="s">
        <v>262</v>
      </c>
      <c r="F28" s="11" t="s">
        <v>99</v>
      </c>
      <c r="G28" s="16">
        <f t="shared" si="0"/>
        <v>3</v>
      </c>
      <c r="H28" s="23" t="s">
        <v>116</v>
      </c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>
        <v>4.4418981481481488E-3</v>
      </c>
      <c r="W28" s="23" t="s">
        <v>116</v>
      </c>
      <c r="X28" s="23" t="s">
        <v>116</v>
      </c>
      <c r="Y28" s="23">
        <v>4.9652777777777777E-3</v>
      </c>
      <c r="Z28" s="23"/>
      <c r="AA28" s="23"/>
      <c r="AB28" s="23" t="s">
        <v>116</v>
      </c>
      <c r="AC28" s="23" t="s">
        <v>116</v>
      </c>
      <c r="AD28" s="23" t="s">
        <v>116</v>
      </c>
      <c r="AE28" s="23">
        <v>2.8327546296296295E-3</v>
      </c>
      <c r="AF28" s="23">
        <v>2.6203703703703706E-3</v>
      </c>
      <c r="AG28" s="23" t="s">
        <v>116</v>
      </c>
      <c r="AH28" s="23">
        <v>1.9328703703703704E-3</v>
      </c>
      <c r="AI28" s="23" t="s">
        <v>116</v>
      </c>
      <c r="AJ28" s="23"/>
      <c r="AK28" s="23" t="s">
        <v>116</v>
      </c>
      <c r="AL28" s="2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>
        <f t="shared" si="45"/>
        <v>20</v>
      </c>
      <c r="BS28" s="13">
        <f t="shared" si="46"/>
        <v>0</v>
      </c>
      <c r="BT28" s="13">
        <f t="shared" si="47"/>
        <v>0</v>
      </c>
      <c r="BU28" s="13">
        <f t="shared" si="48"/>
        <v>0</v>
      </c>
      <c r="BV28" s="13">
        <f t="shared" si="49"/>
        <v>0</v>
      </c>
      <c r="BW28" s="13">
        <f t="shared" si="50"/>
        <v>0</v>
      </c>
      <c r="BX28" s="13">
        <f t="shared" si="51"/>
        <v>0</v>
      </c>
      <c r="BY28" s="13">
        <f t="shared" si="52"/>
        <v>0</v>
      </c>
      <c r="BZ28" s="13">
        <f t="shared" si="53"/>
        <v>0</v>
      </c>
      <c r="CA28" s="13">
        <f t="shared" si="54"/>
        <v>0</v>
      </c>
      <c r="CB28" s="13">
        <f t="shared" si="55"/>
        <v>0</v>
      </c>
      <c r="CC28" s="13">
        <f t="shared" si="56"/>
        <v>0</v>
      </c>
      <c r="CD28" s="13">
        <f t="shared" si="57"/>
        <v>0</v>
      </c>
      <c r="CE28" s="13">
        <f t="shared" si="58"/>
        <v>0</v>
      </c>
      <c r="CF28" s="13">
        <f t="shared" si="59"/>
        <v>75</v>
      </c>
      <c r="CG28" s="13">
        <f t="shared" si="60"/>
        <v>20</v>
      </c>
      <c r="CH28" s="13">
        <f t="shared" si="61"/>
        <v>20</v>
      </c>
      <c r="CI28" s="13">
        <f t="shared" si="62"/>
        <v>58</v>
      </c>
      <c r="CJ28" s="13">
        <f t="shared" si="63"/>
        <v>0</v>
      </c>
      <c r="CK28" s="13">
        <f t="shared" si="64"/>
        <v>0</v>
      </c>
      <c r="CL28" s="13">
        <f t="shared" si="65"/>
        <v>20</v>
      </c>
      <c r="CM28" s="13">
        <f t="shared" si="66"/>
        <v>20</v>
      </c>
      <c r="CN28" s="13">
        <f t="shared" si="67"/>
        <v>20</v>
      </c>
      <c r="CO28" s="13">
        <f t="shared" si="68"/>
        <v>87</v>
      </c>
      <c r="CP28" s="13">
        <f t="shared" si="69"/>
        <v>75</v>
      </c>
      <c r="CQ28" s="13">
        <f t="shared" si="70"/>
        <v>20</v>
      </c>
      <c r="CR28" s="13">
        <f t="shared" si="71"/>
        <v>87</v>
      </c>
      <c r="CS28" s="13">
        <f t="shared" si="72"/>
        <v>20</v>
      </c>
      <c r="CT28" s="13">
        <f t="shared" si="73"/>
        <v>0</v>
      </c>
      <c r="CU28" s="13">
        <f t="shared" si="74"/>
        <v>20</v>
      </c>
      <c r="CV28" s="13">
        <f t="shared" si="75"/>
        <v>0</v>
      </c>
      <c r="CW28" s="13">
        <f t="shared" si="5"/>
        <v>20</v>
      </c>
      <c r="CX28" s="13">
        <f t="shared" si="6"/>
        <v>0</v>
      </c>
      <c r="CY28" s="13">
        <f t="shared" si="7"/>
        <v>0</v>
      </c>
      <c r="CZ28" s="13">
        <f t="shared" si="8"/>
        <v>0</v>
      </c>
      <c r="DA28" s="13">
        <f t="shared" si="9"/>
        <v>0</v>
      </c>
      <c r="DB28" s="13">
        <f t="shared" si="10"/>
        <v>0</v>
      </c>
      <c r="DC28" s="13">
        <f t="shared" si="11"/>
        <v>0</v>
      </c>
      <c r="DD28" s="13">
        <f t="shared" si="12"/>
        <v>0</v>
      </c>
      <c r="DE28" s="13">
        <f t="shared" si="13"/>
        <v>0</v>
      </c>
      <c r="DF28" s="13">
        <f t="shared" si="14"/>
        <v>0</v>
      </c>
      <c r="DG28" s="13">
        <f t="shared" si="15"/>
        <v>0</v>
      </c>
      <c r="DH28" s="13">
        <f t="shared" si="16"/>
        <v>0</v>
      </c>
      <c r="DI28" s="13">
        <f t="shared" si="17"/>
        <v>0</v>
      </c>
      <c r="DJ28" s="13">
        <f t="shared" si="18"/>
        <v>0</v>
      </c>
      <c r="DK28" s="13">
        <f t="shared" si="19"/>
        <v>75</v>
      </c>
      <c r="DL28" s="13">
        <f t="shared" si="20"/>
        <v>20</v>
      </c>
      <c r="DM28" s="13">
        <f t="shared" si="21"/>
        <v>20</v>
      </c>
      <c r="DN28" s="13">
        <f t="shared" si="22"/>
        <v>58</v>
      </c>
      <c r="DO28" s="13">
        <f t="shared" si="23"/>
        <v>0</v>
      </c>
      <c r="DP28" s="13">
        <f t="shared" si="24"/>
        <v>0</v>
      </c>
      <c r="DQ28" s="13">
        <f t="shared" si="25"/>
        <v>20</v>
      </c>
      <c r="DR28" s="13">
        <f t="shared" si="26"/>
        <v>20</v>
      </c>
      <c r="DS28" s="13">
        <f t="shared" si="27"/>
        <v>20</v>
      </c>
      <c r="DT28" s="13">
        <f t="shared" si="28"/>
        <v>87</v>
      </c>
      <c r="DU28" s="13">
        <f t="shared" si="29"/>
        <v>75</v>
      </c>
      <c r="DV28" s="13">
        <f t="shared" si="30"/>
        <v>20</v>
      </c>
      <c r="DW28" s="13">
        <f t="shared" si="31"/>
        <v>87</v>
      </c>
      <c r="DX28" s="13">
        <f t="shared" si="32"/>
        <v>20</v>
      </c>
      <c r="DY28" s="13">
        <f t="shared" si="33"/>
        <v>0</v>
      </c>
      <c r="DZ28" s="13">
        <f t="shared" si="34"/>
        <v>20</v>
      </c>
      <c r="EA28" s="13">
        <f t="shared" si="35"/>
        <v>0</v>
      </c>
      <c r="EB28" s="13">
        <f t="shared" si="36"/>
        <v>562</v>
      </c>
      <c r="EC28" s="17">
        <f t="shared" si="76"/>
        <v>11</v>
      </c>
      <c r="ED28" s="17">
        <f t="shared" si="38"/>
        <v>22</v>
      </c>
    </row>
    <row r="29" spans="1:134" s="5" customFormat="1" ht="30" x14ac:dyDescent="0.25">
      <c r="A29" s="16">
        <v>311</v>
      </c>
      <c r="B29" s="11" t="s">
        <v>297</v>
      </c>
      <c r="C29" s="74" t="s">
        <v>298</v>
      </c>
      <c r="D29" s="11" t="s">
        <v>278</v>
      </c>
      <c r="E29" s="12" t="s">
        <v>283</v>
      </c>
      <c r="F29" s="11" t="s">
        <v>99</v>
      </c>
      <c r="G29" s="16">
        <f t="shared" si="0"/>
        <v>3</v>
      </c>
      <c r="H29" s="23">
        <v>1.4467592592592593E-2</v>
      </c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>
        <v>2.4916666666666668E-3</v>
      </c>
      <c r="W29" s="23">
        <v>3.425925925925926E-3</v>
      </c>
      <c r="X29" s="23"/>
      <c r="Y29" s="23">
        <v>3.530092592592592E-3</v>
      </c>
      <c r="Z29" s="23" t="s">
        <v>116</v>
      </c>
      <c r="AA29" s="23"/>
      <c r="AB29" s="23"/>
      <c r="AC29" s="23"/>
      <c r="AD29" s="23"/>
      <c r="AE29" s="23">
        <v>2.864930555555555E-3</v>
      </c>
      <c r="AF29" s="23"/>
      <c r="AG29" s="23"/>
      <c r="AH29" s="23">
        <v>2.3726851851851851E-3</v>
      </c>
      <c r="AI29" s="23">
        <v>6.238425925925925E-3</v>
      </c>
      <c r="AJ29" s="23"/>
      <c r="AK29" s="23"/>
      <c r="AL29" s="2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>
        <f t="shared" si="45"/>
        <v>72</v>
      </c>
      <c r="BS29" s="13">
        <f t="shared" si="46"/>
        <v>0</v>
      </c>
      <c r="BT29" s="13">
        <f t="shared" si="47"/>
        <v>0</v>
      </c>
      <c r="BU29" s="13">
        <f t="shared" si="48"/>
        <v>0</v>
      </c>
      <c r="BV29" s="13">
        <f t="shared" si="49"/>
        <v>0</v>
      </c>
      <c r="BW29" s="13">
        <f t="shared" si="50"/>
        <v>0</v>
      </c>
      <c r="BX29" s="13">
        <f t="shared" si="51"/>
        <v>0</v>
      </c>
      <c r="BY29" s="13">
        <f t="shared" si="52"/>
        <v>0</v>
      </c>
      <c r="BZ29" s="13">
        <f t="shared" si="53"/>
        <v>0</v>
      </c>
      <c r="CA29" s="13">
        <f t="shared" si="54"/>
        <v>0</v>
      </c>
      <c r="CB29" s="13">
        <f t="shared" si="55"/>
        <v>0</v>
      </c>
      <c r="CC29" s="13">
        <f t="shared" si="56"/>
        <v>0</v>
      </c>
      <c r="CD29" s="13">
        <f t="shared" si="57"/>
        <v>0</v>
      </c>
      <c r="CE29" s="13">
        <f t="shared" si="58"/>
        <v>0</v>
      </c>
      <c r="CF29" s="13">
        <f t="shared" si="59"/>
        <v>87</v>
      </c>
      <c r="CG29" s="13">
        <f t="shared" si="60"/>
        <v>90</v>
      </c>
      <c r="CH29" s="13">
        <f t="shared" si="61"/>
        <v>0</v>
      </c>
      <c r="CI29" s="13">
        <f t="shared" si="62"/>
        <v>75</v>
      </c>
      <c r="CJ29" s="13">
        <f t="shared" si="63"/>
        <v>20</v>
      </c>
      <c r="CK29" s="13">
        <f t="shared" si="64"/>
        <v>0</v>
      </c>
      <c r="CL29" s="13">
        <f t="shared" si="65"/>
        <v>0</v>
      </c>
      <c r="CM29" s="13">
        <f t="shared" si="66"/>
        <v>0</v>
      </c>
      <c r="CN29" s="13">
        <f t="shared" si="67"/>
        <v>0</v>
      </c>
      <c r="CO29" s="13">
        <f t="shared" si="68"/>
        <v>78</v>
      </c>
      <c r="CP29" s="13">
        <f t="shared" si="69"/>
        <v>0</v>
      </c>
      <c r="CQ29" s="13">
        <f t="shared" si="70"/>
        <v>0</v>
      </c>
      <c r="CR29" s="13">
        <f t="shared" si="71"/>
        <v>81</v>
      </c>
      <c r="CS29" s="13">
        <f t="shared" si="72"/>
        <v>84</v>
      </c>
      <c r="CT29" s="13">
        <f t="shared" si="73"/>
        <v>0</v>
      </c>
      <c r="CU29" s="13">
        <f t="shared" si="74"/>
        <v>0</v>
      </c>
      <c r="CV29" s="13">
        <f t="shared" si="75"/>
        <v>0</v>
      </c>
      <c r="CW29" s="13">
        <f t="shared" si="5"/>
        <v>72</v>
      </c>
      <c r="CX29" s="13">
        <f t="shared" si="6"/>
        <v>0</v>
      </c>
      <c r="CY29" s="13">
        <f t="shared" si="7"/>
        <v>0</v>
      </c>
      <c r="CZ29" s="13">
        <f t="shared" si="8"/>
        <v>0</v>
      </c>
      <c r="DA29" s="13">
        <f t="shared" si="9"/>
        <v>0</v>
      </c>
      <c r="DB29" s="13">
        <f t="shared" si="10"/>
        <v>0</v>
      </c>
      <c r="DC29" s="13">
        <f t="shared" si="11"/>
        <v>0</v>
      </c>
      <c r="DD29" s="13">
        <f t="shared" si="12"/>
        <v>0</v>
      </c>
      <c r="DE29" s="13">
        <f t="shared" si="13"/>
        <v>0</v>
      </c>
      <c r="DF29" s="13">
        <f t="shared" si="14"/>
        <v>0</v>
      </c>
      <c r="DG29" s="13">
        <f t="shared" si="15"/>
        <v>0</v>
      </c>
      <c r="DH29" s="13">
        <f t="shared" si="16"/>
        <v>0</v>
      </c>
      <c r="DI29" s="13">
        <f t="shared" si="17"/>
        <v>0</v>
      </c>
      <c r="DJ29" s="13">
        <f t="shared" si="18"/>
        <v>0</v>
      </c>
      <c r="DK29" s="13">
        <f t="shared" si="19"/>
        <v>87</v>
      </c>
      <c r="DL29" s="13">
        <f t="shared" si="20"/>
        <v>90</v>
      </c>
      <c r="DM29" s="13">
        <f t="shared" si="21"/>
        <v>0</v>
      </c>
      <c r="DN29" s="13">
        <f t="shared" si="22"/>
        <v>75</v>
      </c>
      <c r="DO29" s="13">
        <f t="shared" si="23"/>
        <v>20</v>
      </c>
      <c r="DP29" s="13">
        <f t="shared" si="24"/>
        <v>0</v>
      </c>
      <c r="DQ29" s="13">
        <f t="shared" si="25"/>
        <v>0</v>
      </c>
      <c r="DR29" s="13">
        <f t="shared" si="26"/>
        <v>0</v>
      </c>
      <c r="DS29" s="13">
        <f t="shared" si="27"/>
        <v>0</v>
      </c>
      <c r="DT29" s="13">
        <f t="shared" si="28"/>
        <v>78</v>
      </c>
      <c r="DU29" s="13">
        <f t="shared" si="29"/>
        <v>0</v>
      </c>
      <c r="DV29" s="13">
        <f t="shared" si="30"/>
        <v>0</v>
      </c>
      <c r="DW29" s="13">
        <f t="shared" si="31"/>
        <v>81</v>
      </c>
      <c r="DX29" s="13">
        <f t="shared" si="32"/>
        <v>84</v>
      </c>
      <c r="DY29" s="13">
        <f t="shared" si="33"/>
        <v>0</v>
      </c>
      <c r="DZ29" s="13">
        <f t="shared" si="34"/>
        <v>0</v>
      </c>
      <c r="EA29" s="13">
        <f t="shared" si="35"/>
        <v>0</v>
      </c>
      <c r="EB29" s="13">
        <f t="shared" si="36"/>
        <v>587</v>
      </c>
      <c r="EC29" s="17">
        <f t="shared" si="76"/>
        <v>10</v>
      </c>
      <c r="ED29" s="17">
        <f t="shared" si="38"/>
        <v>21</v>
      </c>
    </row>
    <row r="30" spans="1:134" s="5" customFormat="1" ht="30" x14ac:dyDescent="0.25">
      <c r="A30" s="16">
        <v>312</v>
      </c>
      <c r="B30" s="11" t="s">
        <v>299</v>
      </c>
      <c r="C30" s="74"/>
      <c r="D30" s="11" t="s">
        <v>296</v>
      </c>
      <c r="E30" s="12" t="s">
        <v>300</v>
      </c>
      <c r="F30" s="11" t="s">
        <v>99</v>
      </c>
      <c r="G30" s="16">
        <f t="shared" si="0"/>
        <v>3</v>
      </c>
      <c r="H30" s="23" t="s">
        <v>116</v>
      </c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>
        <v>2.8703703703703708E-3</v>
      </c>
      <c r="Z30" s="23"/>
      <c r="AA30" s="23" t="s">
        <v>116</v>
      </c>
      <c r="AB30" s="23" t="s">
        <v>116</v>
      </c>
      <c r="AC30" s="23"/>
      <c r="AD30" s="23" t="s">
        <v>116</v>
      </c>
      <c r="AE30" s="23">
        <v>6.639930555555556E-3</v>
      </c>
      <c r="AF30" s="23" t="s">
        <v>116</v>
      </c>
      <c r="AG30" s="23" t="s">
        <v>116</v>
      </c>
      <c r="AH30" s="23" t="s">
        <v>116</v>
      </c>
      <c r="AI30" s="23" t="s">
        <v>116</v>
      </c>
      <c r="AJ30" s="23" t="s">
        <v>116</v>
      </c>
      <c r="AK30" s="23"/>
      <c r="AL30" s="2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>
        <f t="shared" si="45"/>
        <v>20</v>
      </c>
      <c r="BS30" s="13">
        <f t="shared" si="46"/>
        <v>0</v>
      </c>
      <c r="BT30" s="13">
        <f t="shared" si="47"/>
        <v>0</v>
      </c>
      <c r="BU30" s="13">
        <f t="shared" si="48"/>
        <v>0</v>
      </c>
      <c r="BV30" s="13">
        <f t="shared" si="49"/>
        <v>0</v>
      </c>
      <c r="BW30" s="13">
        <f t="shared" si="50"/>
        <v>0</v>
      </c>
      <c r="BX30" s="13">
        <f t="shared" si="51"/>
        <v>0</v>
      </c>
      <c r="BY30" s="13">
        <f t="shared" si="52"/>
        <v>0</v>
      </c>
      <c r="BZ30" s="13">
        <f t="shared" si="53"/>
        <v>0</v>
      </c>
      <c r="CA30" s="13">
        <f t="shared" si="54"/>
        <v>0</v>
      </c>
      <c r="CB30" s="13">
        <f t="shared" si="55"/>
        <v>0</v>
      </c>
      <c r="CC30" s="13">
        <f t="shared" si="56"/>
        <v>0</v>
      </c>
      <c r="CD30" s="13">
        <f t="shared" si="57"/>
        <v>0</v>
      </c>
      <c r="CE30" s="13">
        <f t="shared" si="58"/>
        <v>0</v>
      </c>
      <c r="CF30" s="13">
        <f t="shared" si="59"/>
        <v>0</v>
      </c>
      <c r="CG30" s="13">
        <f t="shared" si="60"/>
        <v>0</v>
      </c>
      <c r="CH30" s="13">
        <f t="shared" si="61"/>
        <v>0</v>
      </c>
      <c r="CI30" s="13">
        <f t="shared" si="62"/>
        <v>78</v>
      </c>
      <c r="CJ30" s="13">
        <f t="shared" si="63"/>
        <v>0</v>
      </c>
      <c r="CK30" s="13">
        <f t="shared" si="64"/>
        <v>20</v>
      </c>
      <c r="CL30" s="13">
        <f t="shared" si="65"/>
        <v>20</v>
      </c>
      <c r="CM30" s="13">
        <f t="shared" si="66"/>
        <v>0</v>
      </c>
      <c r="CN30" s="13">
        <f t="shared" si="67"/>
        <v>20</v>
      </c>
      <c r="CO30" s="13">
        <f t="shared" si="68"/>
        <v>66</v>
      </c>
      <c r="CP30" s="13">
        <f t="shared" si="69"/>
        <v>20</v>
      </c>
      <c r="CQ30" s="13">
        <f t="shared" si="70"/>
        <v>20</v>
      </c>
      <c r="CR30" s="13">
        <f t="shared" si="71"/>
        <v>20</v>
      </c>
      <c r="CS30" s="13">
        <f t="shared" si="72"/>
        <v>20</v>
      </c>
      <c r="CT30" s="13">
        <f t="shared" si="73"/>
        <v>20</v>
      </c>
      <c r="CU30" s="13">
        <f t="shared" si="74"/>
        <v>0</v>
      </c>
      <c r="CV30" s="13">
        <f t="shared" si="75"/>
        <v>0</v>
      </c>
      <c r="CW30" s="13">
        <f t="shared" si="5"/>
        <v>20</v>
      </c>
      <c r="CX30" s="13">
        <f t="shared" si="6"/>
        <v>0</v>
      </c>
      <c r="CY30" s="13">
        <f t="shared" si="7"/>
        <v>0</v>
      </c>
      <c r="CZ30" s="13">
        <f t="shared" si="8"/>
        <v>0</v>
      </c>
      <c r="DA30" s="13">
        <f t="shared" si="9"/>
        <v>0</v>
      </c>
      <c r="DB30" s="13">
        <f t="shared" si="10"/>
        <v>0</v>
      </c>
      <c r="DC30" s="13">
        <f t="shared" si="11"/>
        <v>0</v>
      </c>
      <c r="DD30" s="13">
        <f t="shared" si="12"/>
        <v>0</v>
      </c>
      <c r="DE30" s="13">
        <f t="shared" si="13"/>
        <v>0</v>
      </c>
      <c r="DF30" s="13">
        <f t="shared" si="14"/>
        <v>0</v>
      </c>
      <c r="DG30" s="13">
        <f t="shared" si="15"/>
        <v>0</v>
      </c>
      <c r="DH30" s="13">
        <f t="shared" si="16"/>
        <v>0</v>
      </c>
      <c r="DI30" s="13">
        <f t="shared" si="17"/>
        <v>0</v>
      </c>
      <c r="DJ30" s="13">
        <f t="shared" si="18"/>
        <v>0</v>
      </c>
      <c r="DK30" s="13">
        <f t="shared" si="19"/>
        <v>0</v>
      </c>
      <c r="DL30" s="13">
        <f t="shared" si="20"/>
        <v>0</v>
      </c>
      <c r="DM30" s="13">
        <f t="shared" si="21"/>
        <v>0</v>
      </c>
      <c r="DN30" s="13">
        <f t="shared" si="22"/>
        <v>78</v>
      </c>
      <c r="DO30" s="13">
        <f t="shared" si="23"/>
        <v>0</v>
      </c>
      <c r="DP30" s="13">
        <f t="shared" si="24"/>
        <v>20</v>
      </c>
      <c r="DQ30" s="13">
        <f t="shared" si="25"/>
        <v>20</v>
      </c>
      <c r="DR30" s="13">
        <f t="shared" si="26"/>
        <v>0</v>
      </c>
      <c r="DS30" s="13">
        <f t="shared" si="27"/>
        <v>20</v>
      </c>
      <c r="DT30" s="13">
        <f t="shared" si="28"/>
        <v>66</v>
      </c>
      <c r="DU30" s="13">
        <f t="shared" si="29"/>
        <v>20</v>
      </c>
      <c r="DV30" s="13">
        <f t="shared" si="30"/>
        <v>20</v>
      </c>
      <c r="DW30" s="13">
        <f t="shared" si="31"/>
        <v>20</v>
      </c>
      <c r="DX30" s="13">
        <f t="shared" si="32"/>
        <v>20</v>
      </c>
      <c r="DY30" s="13">
        <f t="shared" si="33"/>
        <v>20</v>
      </c>
      <c r="DZ30" s="13">
        <f t="shared" si="34"/>
        <v>0</v>
      </c>
      <c r="EA30" s="13">
        <f t="shared" si="35"/>
        <v>0</v>
      </c>
      <c r="EB30" s="13">
        <f t="shared" si="36"/>
        <v>324</v>
      </c>
      <c r="EC30" s="17">
        <f>IFERROR(IF(EB30="СХОД","-",_xlfn.RANK.EQ(EB30,EB$19:EB$39,0)),"")</f>
        <v>13</v>
      </c>
      <c r="ED30" s="17">
        <f t="shared" si="38"/>
        <v>28</v>
      </c>
    </row>
    <row r="31" spans="1:134" s="5" customFormat="1" ht="30" x14ac:dyDescent="0.25">
      <c r="A31" s="16">
        <v>313</v>
      </c>
      <c r="B31" s="11" t="s">
        <v>301</v>
      </c>
      <c r="C31" s="74"/>
      <c r="D31" s="11" t="s">
        <v>264</v>
      </c>
      <c r="E31" s="12" t="s">
        <v>283</v>
      </c>
      <c r="F31" s="11" t="s">
        <v>99</v>
      </c>
      <c r="G31" s="16">
        <f t="shared" si="0"/>
        <v>3</v>
      </c>
      <c r="H31" s="23" t="s">
        <v>116</v>
      </c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 t="s">
        <v>116</v>
      </c>
      <c r="W31" s="23"/>
      <c r="X31" s="23"/>
      <c r="Y31" s="23" t="s">
        <v>116</v>
      </c>
      <c r="Z31" s="23" t="s">
        <v>116</v>
      </c>
      <c r="AA31" s="23" t="s">
        <v>116</v>
      </c>
      <c r="AB31" s="23" t="s">
        <v>116</v>
      </c>
      <c r="AC31" s="23" t="s">
        <v>116</v>
      </c>
      <c r="AD31" s="23" t="s">
        <v>116</v>
      </c>
      <c r="AE31" s="23" t="s">
        <v>116</v>
      </c>
      <c r="AF31" s="23" t="s">
        <v>116</v>
      </c>
      <c r="AG31" s="23" t="s">
        <v>116</v>
      </c>
      <c r="AH31" s="23" t="s">
        <v>116</v>
      </c>
      <c r="AI31" s="23" t="s">
        <v>116</v>
      </c>
      <c r="AJ31" s="23" t="s">
        <v>116</v>
      </c>
      <c r="AK31" s="23" t="s">
        <v>116</v>
      </c>
      <c r="AL31" s="2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>
        <f t="shared" si="45"/>
        <v>20</v>
      </c>
      <c r="BS31" s="13">
        <f t="shared" si="46"/>
        <v>0</v>
      </c>
      <c r="BT31" s="13">
        <f t="shared" si="47"/>
        <v>0</v>
      </c>
      <c r="BU31" s="13">
        <f t="shared" si="48"/>
        <v>0</v>
      </c>
      <c r="BV31" s="13">
        <f t="shared" si="49"/>
        <v>0</v>
      </c>
      <c r="BW31" s="13">
        <f t="shared" si="50"/>
        <v>0</v>
      </c>
      <c r="BX31" s="13">
        <f t="shared" si="51"/>
        <v>0</v>
      </c>
      <c r="BY31" s="13">
        <f t="shared" si="52"/>
        <v>0</v>
      </c>
      <c r="BZ31" s="13">
        <f t="shared" si="53"/>
        <v>0</v>
      </c>
      <c r="CA31" s="13">
        <f t="shared" si="54"/>
        <v>0</v>
      </c>
      <c r="CB31" s="13">
        <f t="shared" si="55"/>
        <v>0</v>
      </c>
      <c r="CC31" s="13">
        <f t="shared" si="56"/>
        <v>0</v>
      </c>
      <c r="CD31" s="13">
        <f t="shared" si="57"/>
        <v>0</v>
      </c>
      <c r="CE31" s="13">
        <f t="shared" si="58"/>
        <v>0</v>
      </c>
      <c r="CF31" s="13">
        <f t="shared" si="59"/>
        <v>20</v>
      </c>
      <c r="CG31" s="13">
        <f t="shared" si="60"/>
        <v>0</v>
      </c>
      <c r="CH31" s="13">
        <f t="shared" si="61"/>
        <v>0</v>
      </c>
      <c r="CI31" s="13">
        <f t="shared" si="62"/>
        <v>20</v>
      </c>
      <c r="CJ31" s="13">
        <f t="shared" si="63"/>
        <v>20</v>
      </c>
      <c r="CK31" s="13">
        <f t="shared" si="64"/>
        <v>20</v>
      </c>
      <c r="CL31" s="13">
        <f t="shared" si="65"/>
        <v>20</v>
      </c>
      <c r="CM31" s="13">
        <f t="shared" si="66"/>
        <v>20</v>
      </c>
      <c r="CN31" s="13">
        <f t="shared" si="67"/>
        <v>20</v>
      </c>
      <c r="CO31" s="13">
        <f t="shared" si="68"/>
        <v>20</v>
      </c>
      <c r="CP31" s="13">
        <f t="shared" si="69"/>
        <v>20</v>
      </c>
      <c r="CQ31" s="13">
        <f t="shared" si="70"/>
        <v>20</v>
      </c>
      <c r="CR31" s="13">
        <f t="shared" si="71"/>
        <v>20</v>
      </c>
      <c r="CS31" s="13">
        <f t="shared" si="72"/>
        <v>20</v>
      </c>
      <c r="CT31" s="13">
        <f t="shared" si="73"/>
        <v>20</v>
      </c>
      <c r="CU31" s="13">
        <f t="shared" si="74"/>
        <v>20</v>
      </c>
      <c r="CV31" s="13">
        <f t="shared" si="75"/>
        <v>0</v>
      </c>
      <c r="CW31" s="13">
        <f t="shared" si="5"/>
        <v>20</v>
      </c>
      <c r="CX31" s="13">
        <f t="shared" si="6"/>
        <v>0</v>
      </c>
      <c r="CY31" s="13">
        <f t="shared" si="7"/>
        <v>0</v>
      </c>
      <c r="CZ31" s="13">
        <f t="shared" si="8"/>
        <v>0</v>
      </c>
      <c r="DA31" s="13">
        <f t="shared" si="9"/>
        <v>0</v>
      </c>
      <c r="DB31" s="13">
        <f t="shared" si="10"/>
        <v>0</v>
      </c>
      <c r="DC31" s="13">
        <f t="shared" si="11"/>
        <v>0</v>
      </c>
      <c r="DD31" s="13">
        <f t="shared" si="12"/>
        <v>0</v>
      </c>
      <c r="DE31" s="13">
        <f t="shared" si="13"/>
        <v>0</v>
      </c>
      <c r="DF31" s="13">
        <f t="shared" si="14"/>
        <v>0</v>
      </c>
      <c r="DG31" s="13">
        <f t="shared" si="15"/>
        <v>0</v>
      </c>
      <c r="DH31" s="13">
        <f t="shared" si="16"/>
        <v>0</v>
      </c>
      <c r="DI31" s="13">
        <f t="shared" si="17"/>
        <v>0</v>
      </c>
      <c r="DJ31" s="13">
        <f t="shared" si="18"/>
        <v>0</v>
      </c>
      <c r="DK31" s="13">
        <f t="shared" si="19"/>
        <v>20</v>
      </c>
      <c r="DL31" s="13">
        <f t="shared" si="20"/>
        <v>0</v>
      </c>
      <c r="DM31" s="13">
        <f t="shared" si="21"/>
        <v>0</v>
      </c>
      <c r="DN31" s="13">
        <f t="shared" si="22"/>
        <v>20</v>
      </c>
      <c r="DO31" s="13">
        <f t="shared" si="23"/>
        <v>20</v>
      </c>
      <c r="DP31" s="13">
        <f t="shared" si="24"/>
        <v>20</v>
      </c>
      <c r="DQ31" s="13">
        <f t="shared" si="25"/>
        <v>20</v>
      </c>
      <c r="DR31" s="13">
        <f t="shared" si="26"/>
        <v>20</v>
      </c>
      <c r="DS31" s="13">
        <f t="shared" si="27"/>
        <v>20</v>
      </c>
      <c r="DT31" s="13">
        <f t="shared" si="28"/>
        <v>20</v>
      </c>
      <c r="DU31" s="13">
        <f t="shared" si="29"/>
        <v>20</v>
      </c>
      <c r="DV31" s="13">
        <f t="shared" si="30"/>
        <v>20</v>
      </c>
      <c r="DW31" s="13">
        <f t="shared" si="31"/>
        <v>20</v>
      </c>
      <c r="DX31" s="13">
        <f t="shared" si="32"/>
        <v>20</v>
      </c>
      <c r="DY31" s="13">
        <f t="shared" si="33"/>
        <v>20</v>
      </c>
      <c r="DZ31" s="13">
        <f t="shared" si="34"/>
        <v>20</v>
      </c>
      <c r="EA31" s="13">
        <f t="shared" si="35"/>
        <v>0</v>
      </c>
      <c r="EB31" s="13">
        <f t="shared" si="36"/>
        <v>300</v>
      </c>
      <c r="EC31" s="17">
        <f t="shared" si="76"/>
        <v>14</v>
      </c>
      <c r="ED31" s="17">
        <f t="shared" si="38"/>
        <v>30</v>
      </c>
    </row>
    <row r="32" spans="1:134" s="5" customFormat="1" ht="30" x14ac:dyDescent="0.25">
      <c r="A32" s="16">
        <v>314</v>
      </c>
      <c r="B32" s="11" t="s">
        <v>302</v>
      </c>
      <c r="C32" s="74"/>
      <c r="D32" s="11" t="s">
        <v>266</v>
      </c>
      <c r="E32" s="12" t="s">
        <v>303</v>
      </c>
      <c r="F32" s="11" t="s">
        <v>99</v>
      </c>
      <c r="G32" s="16">
        <f t="shared" si="0"/>
        <v>3</v>
      </c>
      <c r="H32" s="23">
        <v>1.2337962962962962E-2</v>
      </c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>
        <v>3.4509259259259254E-3</v>
      </c>
      <c r="W32" s="23" t="s">
        <v>116</v>
      </c>
      <c r="X32" s="23" t="s">
        <v>116</v>
      </c>
      <c r="Y32" s="23">
        <v>2.1296296296296298E-3</v>
      </c>
      <c r="Z32" s="23"/>
      <c r="AA32" s="23" t="s">
        <v>116</v>
      </c>
      <c r="AB32" s="23" t="s">
        <v>116</v>
      </c>
      <c r="AC32" s="23"/>
      <c r="AD32" s="23"/>
      <c r="AE32" s="23"/>
      <c r="AF32" s="23">
        <v>8.8638888888888882E-3</v>
      </c>
      <c r="AG32" s="23" t="s">
        <v>116</v>
      </c>
      <c r="AH32" s="23">
        <v>9.1435185185185185E-4</v>
      </c>
      <c r="AI32" s="23">
        <v>7.4537037037037028E-3</v>
      </c>
      <c r="AJ32" s="23" t="s">
        <v>116</v>
      </c>
      <c r="AK32" s="23" t="s">
        <v>116</v>
      </c>
      <c r="AL32" s="2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>
        <f t="shared" si="45"/>
        <v>78</v>
      </c>
      <c r="BS32" s="13">
        <f t="shared" si="46"/>
        <v>0</v>
      </c>
      <c r="BT32" s="13">
        <f t="shared" si="47"/>
        <v>0</v>
      </c>
      <c r="BU32" s="13">
        <f t="shared" si="48"/>
        <v>0</v>
      </c>
      <c r="BV32" s="13">
        <f t="shared" si="49"/>
        <v>0</v>
      </c>
      <c r="BW32" s="13">
        <f t="shared" si="50"/>
        <v>0</v>
      </c>
      <c r="BX32" s="13">
        <f t="shared" si="51"/>
        <v>0</v>
      </c>
      <c r="BY32" s="13">
        <f t="shared" si="52"/>
        <v>0</v>
      </c>
      <c r="BZ32" s="13">
        <f t="shared" si="53"/>
        <v>0</v>
      </c>
      <c r="CA32" s="13">
        <f t="shared" si="54"/>
        <v>0</v>
      </c>
      <c r="CB32" s="13">
        <f t="shared" si="55"/>
        <v>0</v>
      </c>
      <c r="CC32" s="13">
        <f t="shared" si="56"/>
        <v>0</v>
      </c>
      <c r="CD32" s="13">
        <f t="shared" si="57"/>
        <v>0</v>
      </c>
      <c r="CE32" s="13">
        <f t="shared" si="58"/>
        <v>0</v>
      </c>
      <c r="CF32" s="13">
        <f t="shared" si="59"/>
        <v>81</v>
      </c>
      <c r="CG32" s="13">
        <f t="shared" si="60"/>
        <v>20</v>
      </c>
      <c r="CH32" s="13">
        <f t="shared" si="61"/>
        <v>20</v>
      </c>
      <c r="CI32" s="13">
        <f t="shared" si="62"/>
        <v>90</v>
      </c>
      <c r="CJ32" s="13">
        <f t="shared" si="63"/>
        <v>0</v>
      </c>
      <c r="CK32" s="13">
        <f t="shared" si="64"/>
        <v>20</v>
      </c>
      <c r="CL32" s="13">
        <f t="shared" si="65"/>
        <v>20</v>
      </c>
      <c r="CM32" s="13">
        <f t="shared" si="66"/>
        <v>0</v>
      </c>
      <c r="CN32" s="13">
        <f t="shared" si="67"/>
        <v>0</v>
      </c>
      <c r="CO32" s="13">
        <f t="shared" si="68"/>
        <v>0</v>
      </c>
      <c r="CP32" s="13">
        <f t="shared" si="69"/>
        <v>69</v>
      </c>
      <c r="CQ32" s="13">
        <f t="shared" si="70"/>
        <v>20</v>
      </c>
      <c r="CR32" s="13">
        <f t="shared" si="71"/>
        <v>100</v>
      </c>
      <c r="CS32" s="13">
        <f t="shared" si="72"/>
        <v>81</v>
      </c>
      <c r="CT32" s="13">
        <f t="shared" si="73"/>
        <v>20</v>
      </c>
      <c r="CU32" s="13">
        <f t="shared" si="74"/>
        <v>20</v>
      </c>
      <c r="CV32" s="13">
        <f t="shared" si="75"/>
        <v>0</v>
      </c>
      <c r="CW32" s="13">
        <f t="shared" si="5"/>
        <v>78</v>
      </c>
      <c r="CX32" s="13">
        <f t="shared" si="6"/>
        <v>0</v>
      </c>
      <c r="CY32" s="13">
        <f t="shared" si="7"/>
        <v>0</v>
      </c>
      <c r="CZ32" s="13">
        <f t="shared" si="8"/>
        <v>0</v>
      </c>
      <c r="DA32" s="13">
        <f t="shared" si="9"/>
        <v>0</v>
      </c>
      <c r="DB32" s="13">
        <f t="shared" si="10"/>
        <v>0</v>
      </c>
      <c r="DC32" s="13">
        <f t="shared" si="11"/>
        <v>0</v>
      </c>
      <c r="DD32" s="13">
        <f t="shared" si="12"/>
        <v>0</v>
      </c>
      <c r="DE32" s="13">
        <f t="shared" si="13"/>
        <v>0</v>
      </c>
      <c r="DF32" s="13">
        <f t="shared" si="14"/>
        <v>0</v>
      </c>
      <c r="DG32" s="13">
        <f t="shared" si="15"/>
        <v>0</v>
      </c>
      <c r="DH32" s="13">
        <f t="shared" si="16"/>
        <v>0</v>
      </c>
      <c r="DI32" s="13">
        <f t="shared" si="17"/>
        <v>0</v>
      </c>
      <c r="DJ32" s="13">
        <f t="shared" si="18"/>
        <v>0</v>
      </c>
      <c r="DK32" s="13">
        <f t="shared" si="19"/>
        <v>81</v>
      </c>
      <c r="DL32" s="13">
        <f t="shared" si="20"/>
        <v>20</v>
      </c>
      <c r="DM32" s="13">
        <f t="shared" si="21"/>
        <v>20</v>
      </c>
      <c r="DN32" s="13">
        <f t="shared" si="22"/>
        <v>90</v>
      </c>
      <c r="DO32" s="13">
        <f t="shared" si="23"/>
        <v>0</v>
      </c>
      <c r="DP32" s="13">
        <f t="shared" si="24"/>
        <v>20</v>
      </c>
      <c r="DQ32" s="13">
        <f t="shared" si="25"/>
        <v>20</v>
      </c>
      <c r="DR32" s="13">
        <f t="shared" si="26"/>
        <v>0</v>
      </c>
      <c r="DS32" s="13">
        <f t="shared" si="27"/>
        <v>0</v>
      </c>
      <c r="DT32" s="13">
        <f t="shared" si="28"/>
        <v>0</v>
      </c>
      <c r="DU32" s="13">
        <f t="shared" si="29"/>
        <v>69</v>
      </c>
      <c r="DV32" s="13">
        <f t="shared" si="30"/>
        <v>20</v>
      </c>
      <c r="DW32" s="13">
        <f t="shared" si="31"/>
        <v>100</v>
      </c>
      <c r="DX32" s="13">
        <f t="shared" si="32"/>
        <v>81</v>
      </c>
      <c r="DY32" s="13">
        <f t="shared" si="33"/>
        <v>20</v>
      </c>
      <c r="DZ32" s="13">
        <f t="shared" si="34"/>
        <v>20</v>
      </c>
      <c r="EA32" s="13">
        <f t="shared" si="35"/>
        <v>0</v>
      </c>
      <c r="EB32" s="13">
        <f t="shared" si="36"/>
        <v>639</v>
      </c>
      <c r="EC32" s="17">
        <f t="shared" si="76"/>
        <v>9</v>
      </c>
      <c r="ED32" s="17">
        <f t="shared" si="38"/>
        <v>20</v>
      </c>
    </row>
    <row r="33" spans="1:134" s="5" customFormat="1" ht="30" x14ac:dyDescent="0.25">
      <c r="A33" s="16">
        <v>315</v>
      </c>
      <c r="B33" s="11" t="s">
        <v>304</v>
      </c>
      <c r="C33" s="74"/>
      <c r="D33" s="11" t="s">
        <v>266</v>
      </c>
      <c r="E33" s="12" t="s">
        <v>305</v>
      </c>
      <c r="F33" s="11" t="s">
        <v>99</v>
      </c>
      <c r="G33" s="16">
        <f t="shared" si="0"/>
        <v>3</v>
      </c>
      <c r="H33" s="23">
        <v>9.8148148148148144E-3</v>
      </c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>
        <v>4.9174768518518517E-3</v>
      </c>
      <c r="W33" s="23" t="s">
        <v>116</v>
      </c>
      <c r="X33" s="23" t="s">
        <v>116</v>
      </c>
      <c r="Y33" s="23">
        <v>3.9467592592592592E-3</v>
      </c>
      <c r="Z33" s="23">
        <v>7.771643518518518E-3</v>
      </c>
      <c r="AA33" s="23" t="s">
        <v>116</v>
      </c>
      <c r="AB33" s="23" t="s">
        <v>116</v>
      </c>
      <c r="AC33" s="23" t="s">
        <v>116</v>
      </c>
      <c r="AD33" s="23" t="s">
        <v>116</v>
      </c>
      <c r="AE33" s="23">
        <v>2.2021990740740739E-3</v>
      </c>
      <c r="AF33" s="23" t="s">
        <v>116</v>
      </c>
      <c r="AG33" s="23" t="s">
        <v>116</v>
      </c>
      <c r="AH33" s="23">
        <v>2.4189814814814816E-3</v>
      </c>
      <c r="AI33" s="23" t="s">
        <v>116</v>
      </c>
      <c r="AJ33" s="23" t="s">
        <v>116</v>
      </c>
      <c r="AK33" s="23" t="s">
        <v>116</v>
      </c>
      <c r="AL33" s="2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>
        <v>30</v>
      </c>
      <c r="BM33" s="13"/>
      <c r="BN33" s="13"/>
      <c r="BO33" s="13"/>
      <c r="BP33" s="13"/>
      <c r="BQ33" s="13"/>
      <c r="BR33" s="13">
        <f t="shared" si="45"/>
        <v>87</v>
      </c>
      <c r="BS33" s="13">
        <f t="shared" si="46"/>
        <v>0</v>
      </c>
      <c r="BT33" s="13">
        <f t="shared" si="47"/>
        <v>0</v>
      </c>
      <c r="BU33" s="13">
        <f t="shared" si="48"/>
        <v>0</v>
      </c>
      <c r="BV33" s="13">
        <f t="shared" si="49"/>
        <v>0</v>
      </c>
      <c r="BW33" s="13">
        <f t="shared" si="50"/>
        <v>0</v>
      </c>
      <c r="BX33" s="13">
        <f t="shared" si="51"/>
        <v>0</v>
      </c>
      <c r="BY33" s="13">
        <f t="shared" si="52"/>
        <v>0</v>
      </c>
      <c r="BZ33" s="13">
        <f t="shared" si="53"/>
        <v>0</v>
      </c>
      <c r="CA33" s="13">
        <f t="shared" si="54"/>
        <v>0</v>
      </c>
      <c r="CB33" s="13">
        <f t="shared" si="55"/>
        <v>0</v>
      </c>
      <c r="CC33" s="13">
        <f t="shared" si="56"/>
        <v>0</v>
      </c>
      <c r="CD33" s="13">
        <f t="shared" si="57"/>
        <v>0</v>
      </c>
      <c r="CE33" s="13">
        <f t="shared" si="58"/>
        <v>0</v>
      </c>
      <c r="CF33" s="13">
        <f t="shared" si="59"/>
        <v>69</v>
      </c>
      <c r="CG33" s="13">
        <f t="shared" si="60"/>
        <v>20</v>
      </c>
      <c r="CH33" s="13">
        <f t="shared" si="61"/>
        <v>20</v>
      </c>
      <c r="CI33" s="13">
        <f t="shared" si="62"/>
        <v>69</v>
      </c>
      <c r="CJ33" s="13">
        <f t="shared" si="63"/>
        <v>87</v>
      </c>
      <c r="CK33" s="13">
        <f t="shared" si="64"/>
        <v>20</v>
      </c>
      <c r="CL33" s="13">
        <f t="shared" si="65"/>
        <v>20</v>
      </c>
      <c r="CM33" s="13">
        <f t="shared" si="66"/>
        <v>20</v>
      </c>
      <c r="CN33" s="13">
        <f t="shared" si="67"/>
        <v>20</v>
      </c>
      <c r="CO33" s="13">
        <f t="shared" si="68"/>
        <v>95</v>
      </c>
      <c r="CP33" s="13">
        <f t="shared" si="69"/>
        <v>20</v>
      </c>
      <c r="CQ33" s="13">
        <f t="shared" si="70"/>
        <v>20</v>
      </c>
      <c r="CR33" s="13">
        <f t="shared" si="71"/>
        <v>78</v>
      </c>
      <c r="CS33" s="13">
        <f t="shared" si="72"/>
        <v>20</v>
      </c>
      <c r="CT33" s="13">
        <f t="shared" si="73"/>
        <v>20</v>
      </c>
      <c r="CU33" s="13">
        <f t="shared" si="74"/>
        <v>20</v>
      </c>
      <c r="CV33" s="13">
        <f t="shared" si="75"/>
        <v>0</v>
      </c>
      <c r="CW33" s="13">
        <f t="shared" si="5"/>
        <v>87</v>
      </c>
      <c r="CX33" s="13">
        <f t="shared" si="6"/>
        <v>0</v>
      </c>
      <c r="CY33" s="13">
        <f t="shared" si="7"/>
        <v>0</v>
      </c>
      <c r="CZ33" s="13">
        <f t="shared" si="8"/>
        <v>0</v>
      </c>
      <c r="DA33" s="13">
        <f t="shared" si="9"/>
        <v>0</v>
      </c>
      <c r="DB33" s="13">
        <f t="shared" si="10"/>
        <v>0</v>
      </c>
      <c r="DC33" s="13">
        <f t="shared" si="11"/>
        <v>0</v>
      </c>
      <c r="DD33" s="13">
        <f t="shared" si="12"/>
        <v>0</v>
      </c>
      <c r="DE33" s="13">
        <f t="shared" si="13"/>
        <v>0</v>
      </c>
      <c r="DF33" s="13">
        <f t="shared" si="14"/>
        <v>0</v>
      </c>
      <c r="DG33" s="13">
        <f t="shared" si="15"/>
        <v>0</v>
      </c>
      <c r="DH33" s="13">
        <f t="shared" si="16"/>
        <v>0</v>
      </c>
      <c r="DI33" s="13">
        <f t="shared" si="17"/>
        <v>0</v>
      </c>
      <c r="DJ33" s="13">
        <f t="shared" si="18"/>
        <v>0</v>
      </c>
      <c r="DK33" s="13">
        <f t="shared" si="19"/>
        <v>69</v>
      </c>
      <c r="DL33" s="13">
        <f t="shared" si="20"/>
        <v>20</v>
      </c>
      <c r="DM33" s="13">
        <f t="shared" si="21"/>
        <v>20</v>
      </c>
      <c r="DN33" s="13">
        <f t="shared" si="22"/>
        <v>69</v>
      </c>
      <c r="DO33" s="13">
        <f t="shared" si="23"/>
        <v>87</v>
      </c>
      <c r="DP33" s="13">
        <f t="shared" si="24"/>
        <v>20</v>
      </c>
      <c r="DQ33" s="13">
        <f t="shared" si="25"/>
        <v>20</v>
      </c>
      <c r="DR33" s="13">
        <f t="shared" si="26"/>
        <v>20</v>
      </c>
      <c r="DS33" s="13">
        <f t="shared" si="27"/>
        <v>20</v>
      </c>
      <c r="DT33" s="13">
        <f t="shared" si="28"/>
        <v>95</v>
      </c>
      <c r="DU33" s="13">
        <f t="shared" si="29"/>
        <v>20</v>
      </c>
      <c r="DV33" s="13">
        <f t="shared" si="30"/>
        <v>20</v>
      </c>
      <c r="DW33" s="13">
        <f t="shared" si="31"/>
        <v>48</v>
      </c>
      <c r="DX33" s="13">
        <f t="shared" si="32"/>
        <v>20</v>
      </c>
      <c r="DY33" s="13">
        <f t="shared" si="33"/>
        <v>20</v>
      </c>
      <c r="DZ33" s="13">
        <f t="shared" si="34"/>
        <v>20</v>
      </c>
      <c r="EA33" s="13">
        <f t="shared" si="35"/>
        <v>0</v>
      </c>
      <c r="EB33" s="13">
        <f t="shared" si="36"/>
        <v>675</v>
      </c>
      <c r="EC33" s="17">
        <f t="shared" si="76"/>
        <v>8</v>
      </c>
      <c r="ED33" s="17">
        <f t="shared" si="38"/>
        <v>18</v>
      </c>
    </row>
    <row r="34" spans="1:134" s="5" customFormat="1" ht="30" x14ac:dyDescent="0.25">
      <c r="A34" s="16">
        <v>316</v>
      </c>
      <c r="B34" s="11" t="s">
        <v>306</v>
      </c>
      <c r="C34" s="74"/>
      <c r="D34" s="11" t="s">
        <v>263</v>
      </c>
      <c r="E34" s="12" t="s">
        <v>307</v>
      </c>
      <c r="F34" s="11" t="s">
        <v>99</v>
      </c>
      <c r="G34" s="16">
        <f t="shared" si="0"/>
        <v>3</v>
      </c>
      <c r="H34" s="23">
        <v>9.8958333333333329E-3</v>
      </c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 t="s">
        <v>116</v>
      </c>
      <c r="Y34" s="23"/>
      <c r="Z34" s="23"/>
      <c r="AA34" s="23"/>
      <c r="AB34" s="23"/>
      <c r="AC34" s="23"/>
      <c r="AD34" s="23" t="s">
        <v>116</v>
      </c>
      <c r="AE34" s="23"/>
      <c r="AF34" s="23"/>
      <c r="AG34" s="23"/>
      <c r="AH34" s="23" t="s">
        <v>116</v>
      </c>
      <c r="AI34" s="23">
        <v>9.0277777777777787E-3</v>
      </c>
      <c r="AJ34" s="23"/>
      <c r="AK34" s="23"/>
      <c r="AL34" s="2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>
        <f t="shared" si="45"/>
        <v>84</v>
      </c>
      <c r="BS34" s="13">
        <f t="shared" si="46"/>
        <v>0</v>
      </c>
      <c r="BT34" s="13">
        <f t="shared" si="47"/>
        <v>0</v>
      </c>
      <c r="BU34" s="13">
        <f t="shared" si="48"/>
        <v>0</v>
      </c>
      <c r="BV34" s="13">
        <f t="shared" si="49"/>
        <v>0</v>
      </c>
      <c r="BW34" s="13">
        <f t="shared" si="50"/>
        <v>0</v>
      </c>
      <c r="BX34" s="13">
        <f t="shared" si="51"/>
        <v>0</v>
      </c>
      <c r="BY34" s="13">
        <f t="shared" si="52"/>
        <v>0</v>
      </c>
      <c r="BZ34" s="13">
        <f t="shared" si="53"/>
        <v>0</v>
      </c>
      <c r="CA34" s="13">
        <f t="shared" si="54"/>
        <v>0</v>
      </c>
      <c r="CB34" s="13">
        <f t="shared" si="55"/>
        <v>0</v>
      </c>
      <c r="CC34" s="13">
        <f t="shared" si="56"/>
        <v>0</v>
      </c>
      <c r="CD34" s="13">
        <f t="shared" si="57"/>
        <v>0</v>
      </c>
      <c r="CE34" s="13">
        <f t="shared" si="58"/>
        <v>0</v>
      </c>
      <c r="CF34" s="13">
        <f t="shared" si="59"/>
        <v>0</v>
      </c>
      <c r="CG34" s="13">
        <f t="shared" si="60"/>
        <v>0</v>
      </c>
      <c r="CH34" s="13">
        <f t="shared" si="61"/>
        <v>20</v>
      </c>
      <c r="CI34" s="13">
        <f t="shared" si="62"/>
        <v>0</v>
      </c>
      <c r="CJ34" s="13">
        <f t="shared" si="63"/>
        <v>0</v>
      </c>
      <c r="CK34" s="13">
        <f t="shared" si="64"/>
        <v>0</v>
      </c>
      <c r="CL34" s="13">
        <f t="shared" si="65"/>
        <v>0</v>
      </c>
      <c r="CM34" s="13">
        <f t="shared" si="66"/>
        <v>0</v>
      </c>
      <c r="CN34" s="13">
        <f t="shared" si="67"/>
        <v>20</v>
      </c>
      <c r="CO34" s="13">
        <f t="shared" si="68"/>
        <v>0</v>
      </c>
      <c r="CP34" s="13">
        <f t="shared" si="69"/>
        <v>0</v>
      </c>
      <c r="CQ34" s="13">
        <f t="shared" si="70"/>
        <v>0</v>
      </c>
      <c r="CR34" s="13">
        <f t="shared" si="71"/>
        <v>20</v>
      </c>
      <c r="CS34" s="13">
        <f t="shared" si="72"/>
        <v>78</v>
      </c>
      <c r="CT34" s="13">
        <f t="shared" si="73"/>
        <v>0</v>
      </c>
      <c r="CU34" s="13">
        <f t="shared" si="74"/>
        <v>0</v>
      </c>
      <c r="CV34" s="13">
        <f t="shared" si="75"/>
        <v>0</v>
      </c>
      <c r="CW34" s="13">
        <f t="shared" si="5"/>
        <v>84</v>
      </c>
      <c r="CX34" s="13">
        <f t="shared" si="6"/>
        <v>0</v>
      </c>
      <c r="CY34" s="13">
        <f t="shared" si="7"/>
        <v>0</v>
      </c>
      <c r="CZ34" s="13">
        <f t="shared" si="8"/>
        <v>0</v>
      </c>
      <c r="DA34" s="13">
        <f t="shared" si="9"/>
        <v>0</v>
      </c>
      <c r="DB34" s="13">
        <f t="shared" si="10"/>
        <v>0</v>
      </c>
      <c r="DC34" s="13">
        <f t="shared" si="11"/>
        <v>0</v>
      </c>
      <c r="DD34" s="13">
        <f t="shared" si="12"/>
        <v>0</v>
      </c>
      <c r="DE34" s="13">
        <f t="shared" si="13"/>
        <v>0</v>
      </c>
      <c r="DF34" s="13">
        <f t="shared" si="14"/>
        <v>0</v>
      </c>
      <c r="DG34" s="13">
        <f t="shared" si="15"/>
        <v>0</v>
      </c>
      <c r="DH34" s="13">
        <f t="shared" si="16"/>
        <v>0</v>
      </c>
      <c r="DI34" s="13">
        <f t="shared" si="17"/>
        <v>0</v>
      </c>
      <c r="DJ34" s="13">
        <f t="shared" si="18"/>
        <v>0</v>
      </c>
      <c r="DK34" s="13">
        <f t="shared" si="19"/>
        <v>0</v>
      </c>
      <c r="DL34" s="13">
        <f t="shared" si="20"/>
        <v>0</v>
      </c>
      <c r="DM34" s="13">
        <f t="shared" si="21"/>
        <v>20</v>
      </c>
      <c r="DN34" s="13">
        <f t="shared" si="22"/>
        <v>0</v>
      </c>
      <c r="DO34" s="13">
        <f t="shared" si="23"/>
        <v>0</v>
      </c>
      <c r="DP34" s="13">
        <f t="shared" si="24"/>
        <v>0</v>
      </c>
      <c r="DQ34" s="13">
        <f t="shared" si="25"/>
        <v>0</v>
      </c>
      <c r="DR34" s="13">
        <f t="shared" si="26"/>
        <v>0</v>
      </c>
      <c r="DS34" s="13">
        <f t="shared" si="27"/>
        <v>20</v>
      </c>
      <c r="DT34" s="13">
        <f t="shared" si="28"/>
        <v>0</v>
      </c>
      <c r="DU34" s="13">
        <f t="shared" si="29"/>
        <v>0</v>
      </c>
      <c r="DV34" s="13">
        <f t="shared" si="30"/>
        <v>0</v>
      </c>
      <c r="DW34" s="13">
        <f t="shared" si="31"/>
        <v>20</v>
      </c>
      <c r="DX34" s="13">
        <f t="shared" si="32"/>
        <v>78</v>
      </c>
      <c r="DY34" s="13">
        <f t="shared" si="33"/>
        <v>0</v>
      </c>
      <c r="DZ34" s="13">
        <f t="shared" si="34"/>
        <v>0</v>
      </c>
      <c r="EA34" s="13">
        <f t="shared" si="35"/>
        <v>0</v>
      </c>
      <c r="EB34" s="13">
        <f t="shared" si="36"/>
        <v>222</v>
      </c>
      <c r="EC34" s="17">
        <f t="shared" si="76"/>
        <v>18</v>
      </c>
      <c r="ED34" s="17">
        <f t="shared" si="38"/>
        <v>34</v>
      </c>
    </row>
    <row r="35" spans="1:134" s="5" customFormat="1" ht="30" x14ac:dyDescent="0.25">
      <c r="A35" s="16">
        <v>317</v>
      </c>
      <c r="B35" s="11" t="s">
        <v>308</v>
      </c>
      <c r="C35" s="74"/>
      <c r="D35" s="11" t="s">
        <v>310</v>
      </c>
      <c r="E35" s="12" t="s">
        <v>309</v>
      </c>
      <c r="F35" s="11" t="s">
        <v>99</v>
      </c>
      <c r="G35" s="16">
        <f t="shared" si="0"/>
        <v>3</v>
      </c>
      <c r="H35" s="23">
        <v>1.1018518518518518E-2</v>
      </c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 t="s">
        <v>116</v>
      </c>
      <c r="W35" s="23" t="s">
        <v>116</v>
      </c>
      <c r="X35" s="23" t="s">
        <v>116</v>
      </c>
      <c r="Y35" s="23" t="s">
        <v>116</v>
      </c>
      <c r="Z35" s="23" t="s">
        <v>116</v>
      </c>
      <c r="AA35" s="23">
        <v>3.2986111111111111E-3</v>
      </c>
      <c r="AB35" s="23">
        <v>3.0902777777777782E-3</v>
      </c>
      <c r="AC35" s="23" t="s">
        <v>116</v>
      </c>
      <c r="AD35" s="23" t="s">
        <v>116</v>
      </c>
      <c r="AE35" s="23">
        <v>2.8356481481481479E-3</v>
      </c>
      <c r="AF35" s="23">
        <v>1.2618055555555557E-3</v>
      </c>
      <c r="AG35" s="23">
        <v>4.8495370370370368E-3</v>
      </c>
      <c r="AH35" s="23"/>
      <c r="AI35" s="23"/>
      <c r="AJ35" s="23"/>
      <c r="AK35" s="23" t="s">
        <v>116</v>
      </c>
      <c r="AL35" s="2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>
        <v>10</v>
      </c>
      <c r="BK35" s="13">
        <v>10</v>
      </c>
      <c r="BL35" s="13"/>
      <c r="BM35" s="13"/>
      <c r="BN35" s="13"/>
      <c r="BO35" s="13"/>
      <c r="BP35" s="13"/>
      <c r="BQ35" s="13"/>
      <c r="BR35" s="13">
        <f t="shared" si="45"/>
        <v>81</v>
      </c>
      <c r="BS35" s="13">
        <f t="shared" si="46"/>
        <v>0</v>
      </c>
      <c r="BT35" s="13">
        <f t="shared" si="47"/>
        <v>0</v>
      </c>
      <c r="BU35" s="13">
        <f t="shared" si="48"/>
        <v>0</v>
      </c>
      <c r="BV35" s="13">
        <f t="shared" si="49"/>
        <v>0</v>
      </c>
      <c r="BW35" s="13">
        <f t="shared" si="50"/>
        <v>0</v>
      </c>
      <c r="BX35" s="13">
        <f t="shared" si="51"/>
        <v>0</v>
      </c>
      <c r="BY35" s="13">
        <f t="shared" si="52"/>
        <v>0</v>
      </c>
      <c r="BZ35" s="13">
        <f t="shared" si="53"/>
        <v>0</v>
      </c>
      <c r="CA35" s="13">
        <f t="shared" si="54"/>
        <v>0</v>
      </c>
      <c r="CB35" s="13">
        <f t="shared" si="55"/>
        <v>0</v>
      </c>
      <c r="CC35" s="13">
        <f t="shared" si="56"/>
        <v>0</v>
      </c>
      <c r="CD35" s="13">
        <f t="shared" si="57"/>
        <v>0</v>
      </c>
      <c r="CE35" s="13">
        <f t="shared" si="58"/>
        <v>0</v>
      </c>
      <c r="CF35" s="13">
        <f t="shared" si="59"/>
        <v>20</v>
      </c>
      <c r="CG35" s="13">
        <f t="shared" si="60"/>
        <v>20</v>
      </c>
      <c r="CH35" s="13">
        <f t="shared" si="61"/>
        <v>20</v>
      </c>
      <c r="CI35" s="13">
        <f t="shared" si="62"/>
        <v>20</v>
      </c>
      <c r="CJ35" s="13">
        <f t="shared" si="63"/>
        <v>20</v>
      </c>
      <c r="CK35" s="13">
        <f t="shared" si="64"/>
        <v>90</v>
      </c>
      <c r="CL35" s="13">
        <f t="shared" si="65"/>
        <v>95</v>
      </c>
      <c r="CM35" s="13">
        <f t="shared" si="66"/>
        <v>20</v>
      </c>
      <c r="CN35" s="13">
        <f t="shared" si="67"/>
        <v>20</v>
      </c>
      <c r="CO35" s="13">
        <f t="shared" si="68"/>
        <v>84</v>
      </c>
      <c r="CP35" s="13">
        <f t="shared" si="69"/>
        <v>95</v>
      </c>
      <c r="CQ35" s="13">
        <f t="shared" si="70"/>
        <v>100</v>
      </c>
      <c r="CR35" s="13">
        <f t="shared" si="71"/>
        <v>0</v>
      </c>
      <c r="CS35" s="13">
        <f t="shared" si="72"/>
        <v>0</v>
      </c>
      <c r="CT35" s="13">
        <f t="shared" si="73"/>
        <v>0</v>
      </c>
      <c r="CU35" s="13">
        <f t="shared" si="74"/>
        <v>20</v>
      </c>
      <c r="CV35" s="13">
        <f t="shared" si="75"/>
        <v>0</v>
      </c>
      <c r="CW35" s="13">
        <f t="shared" si="5"/>
        <v>81</v>
      </c>
      <c r="CX35" s="13">
        <f t="shared" si="6"/>
        <v>0</v>
      </c>
      <c r="CY35" s="13">
        <f t="shared" si="7"/>
        <v>0</v>
      </c>
      <c r="CZ35" s="13">
        <f t="shared" si="8"/>
        <v>0</v>
      </c>
      <c r="DA35" s="13">
        <f t="shared" si="9"/>
        <v>0</v>
      </c>
      <c r="DB35" s="13">
        <f t="shared" si="10"/>
        <v>0</v>
      </c>
      <c r="DC35" s="13">
        <f t="shared" si="11"/>
        <v>0</v>
      </c>
      <c r="DD35" s="13">
        <f t="shared" si="12"/>
        <v>0</v>
      </c>
      <c r="DE35" s="13">
        <f t="shared" si="13"/>
        <v>0</v>
      </c>
      <c r="DF35" s="13">
        <f t="shared" si="14"/>
        <v>0</v>
      </c>
      <c r="DG35" s="13">
        <f t="shared" si="15"/>
        <v>0</v>
      </c>
      <c r="DH35" s="13">
        <f t="shared" si="16"/>
        <v>0</v>
      </c>
      <c r="DI35" s="13">
        <f t="shared" si="17"/>
        <v>0</v>
      </c>
      <c r="DJ35" s="13">
        <f t="shared" si="18"/>
        <v>0</v>
      </c>
      <c r="DK35" s="13">
        <f t="shared" si="19"/>
        <v>20</v>
      </c>
      <c r="DL35" s="13">
        <f t="shared" si="20"/>
        <v>20</v>
      </c>
      <c r="DM35" s="13">
        <f t="shared" si="21"/>
        <v>20</v>
      </c>
      <c r="DN35" s="13">
        <f t="shared" si="22"/>
        <v>20</v>
      </c>
      <c r="DO35" s="13">
        <f t="shared" si="23"/>
        <v>20</v>
      </c>
      <c r="DP35" s="13">
        <f t="shared" si="24"/>
        <v>90</v>
      </c>
      <c r="DQ35" s="13">
        <f t="shared" si="25"/>
        <v>95</v>
      </c>
      <c r="DR35" s="13">
        <f t="shared" si="26"/>
        <v>20</v>
      </c>
      <c r="DS35" s="13">
        <f t="shared" si="27"/>
        <v>20</v>
      </c>
      <c r="DT35" s="13">
        <f t="shared" si="28"/>
        <v>84</v>
      </c>
      <c r="DU35" s="13">
        <f t="shared" si="29"/>
        <v>85</v>
      </c>
      <c r="DV35" s="13">
        <f t="shared" si="30"/>
        <v>90</v>
      </c>
      <c r="DW35" s="13">
        <f t="shared" si="31"/>
        <v>0</v>
      </c>
      <c r="DX35" s="13">
        <f t="shared" si="32"/>
        <v>0</v>
      </c>
      <c r="DY35" s="13">
        <f t="shared" si="33"/>
        <v>0</v>
      </c>
      <c r="DZ35" s="13">
        <f t="shared" si="34"/>
        <v>20</v>
      </c>
      <c r="EA35" s="13">
        <f t="shared" si="35"/>
        <v>0</v>
      </c>
      <c r="EB35" s="13">
        <f t="shared" si="36"/>
        <v>685</v>
      </c>
      <c r="EC35" s="17">
        <f>IFERROR(IF(EB35="СХОД","-",_xlfn.RANK.EQ(EB35,EB$19:EB$39,0)),"")</f>
        <v>7</v>
      </c>
      <c r="ED35" s="17">
        <f t="shared" si="38"/>
        <v>17</v>
      </c>
    </row>
    <row r="36" spans="1:134" s="5" customFormat="1" ht="30" x14ac:dyDescent="0.25">
      <c r="A36" s="16">
        <v>318</v>
      </c>
      <c r="B36" s="11" t="s">
        <v>311</v>
      </c>
      <c r="C36" s="74"/>
      <c r="D36" s="11" t="s">
        <v>313</v>
      </c>
      <c r="E36" s="12" t="s">
        <v>312</v>
      </c>
      <c r="F36" s="11" t="s">
        <v>99</v>
      </c>
      <c r="G36" s="16">
        <f t="shared" si="0"/>
        <v>3</v>
      </c>
      <c r="H36" s="23" t="s">
        <v>116</v>
      </c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>
        <v>7.8493055555555555E-3</v>
      </c>
      <c r="W36" s="23"/>
      <c r="X36" s="23"/>
      <c r="Y36" s="23"/>
      <c r="Z36" s="23" t="s">
        <v>116</v>
      </c>
      <c r="AA36" s="23"/>
      <c r="AB36" s="23" t="s">
        <v>116</v>
      </c>
      <c r="AC36" s="23"/>
      <c r="AD36" s="23"/>
      <c r="AE36" s="23" t="s">
        <v>116</v>
      </c>
      <c r="AF36" s="23"/>
      <c r="AG36" s="23"/>
      <c r="AH36" s="23"/>
      <c r="AI36" s="23"/>
      <c r="AJ36" s="23"/>
      <c r="AK36" s="23"/>
      <c r="AL36" s="2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>
        <f t="shared" si="45"/>
        <v>20</v>
      </c>
      <c r="BS36" s="13">
        <f t="shared" si="46"/>
        <v>0</v>
      </c>
      <c r="BT36" s="13">
        <f t="shared" si="47"/>
        <v>0</v>
      </c>
      <c r="BU36" s="13">
        <f t="shared" si="48"/>
        <v>0</v>
      </c>
      <c r="BV36" s="13">
        <f t="shared" si="49"/>
        <v>0</v>
      </c>
      <c r="BW36" s="13">
        <f t="shared" si="50"/>
        <v>0</v>
      </c>
      <c r="BX36" s="13">
        <f t="shared" si="51"/>
        <v>0</v>
      </c>
      <c r="BY36" s="13">
        <f t="shared" si="52"/>
        <v>0</v>
      </c>
      <c r="BZ36" s="13">
        <f t="shared" si="53"/>
        <v>0</v>
      </c>
      <c r="CA36" s="13">
        <f t="shared" si="54"/>
        <v>0</v>
      </c>
      <c r="CB36" s="13">
        <f t="shared" si="55"/>
        <v>0</v>
      </c>
      <c r="CC36" s="13">
        <f t="shared" si="56"/>
        <v>0</v>
      </c>
      <c r="CD36" s="13">
        <f t="shared" si="57"/>
        <v>0</v>
      </c>
      <c r="CE36" s="13">
        <f t="shared" si="58"/>
        <v>0</v>
      </c>
      <c r="CF36" s="13">
        <f t="shared" si="59"/>
        <v>60</v>
      </c>
      <c r="CG36" s="13">
        <f t="shared" si="60"/>
        <v>0</v>
      </c>
      <c r="CH36" s="13">
        <f t="shared" si="61"/>
        <v>0</v>
      </c>
      <c r="CI36" s="13">
        <f t="shared" si="62"/>
        <v>0</v>
      </c>
      <c r="CJ36" s="13">
        <f t="shared" si="63"/>
        <v>20</v>
      </c>
      <c r="CK36" s="13">
        <f t="shared" si="64"/>
        <v>0</v>
      </c>
      <c r="CL36" s="13">
        <f t="shared" si="65"/>
        <v>20</v>
      </c>
      <c r="CM36" s="13">
        <f t="shared" si="66"/>
        <v>0</v>
      </c>
      <c r="CN36" s="13">
        <f t="shared" si="67"/>
        <v>0</v>
      </c>
      <c r="CO36" s="13">
        <f t="shared" si="68"/>
        <v>20</v>
      </c>
      <c r="CP36" s="13">
        <f t="shared" si="69"/>
        <v>0</v>
      </c>
      <c r="CQ36" s="13">
        <f t="shared" si="70"/>
        <v>0</v>
      </c>
      <c r="CR36" s="13">
        <f t="shared" si="71"/>
        <v>0</v>
      </c>
      <c r="CS36" s="13">
        <f t="shared" si="72"/>
        <v>0</v>
      </c>
      <c r="CT36" s="13">
        <f t="shared" si="73"/>
        <v>0</v>
      </c>
      <c r="CU36" s="13">
        <f t="shared" si="74"/>
        <v>0</v>
      </c>
      <c r="CV36" s="13">
        <f t="shared" si="75"/>
        <v>0</v>
      </c>
      <c r="CW36" s="13">
        <f>BR36</f>
        <v>20</v>
      </c>
      <c r="CX36" s="13">
        <f t="shared" ref="CX36:DG39" si="77">BS36-AM36</f>
        <v>0</v>
      </c>
      <c r="CY36" s="13">
        <f t="shared" si="77"/>
        <v>0</v>
      </c>
      <c r="CZ36" s="13">
        <f t="shared" si="77"/>
        <v>0</v>
      </c>
      <c r="DA36" s="13">
        <f t="shared" si="77"/>
        <v>0</v>
      </c>
      <c r="DB36" s="13">
        <f t="shared" si="77"/>
        <v>0</v>
      </c>
      <c r="DC36" s="13">
        <f t="shared" si="77"/>
        <v>0</v>
      </c>
      <c r="DD36" s="13">
        <f t="shared" si="77"/>
        <v>0</v>
      </c>
      <c r="DE36" s="13">
        <f t="shared" si="77"/>
        <v>0</v>
      </c>
      <c r="DF36" s="13">
        <f t="shared" si="77"/>
        <v>0</v>
      </c>
      <c r="DG36" s="13">
        <f t="shared" si="77"/>
        <v>0</v>
      </c>
      <c r="DH36" s="13">
        <f t="shared" ref="DH36:DQ39" si="78">CC36-AW36</f>
        <v>0</v>
      </c>
      <c r="DI36" s="13">
        <f t="shared" si="78"/>
        <v>0</v>
      </c>
      <c r="DJ36" s="13">
        <f t="shared" si="78"/>
        <v>0</v>
      </c>
      <c r="DK36" s="13">
        <f t="shared" si="78"/>
        <v>60</v>
      </c>
      <c r="DL36" s="13">
        <f t="shared" si="78"/>
        <v>0</v>
      </c>
      <c r="DM36" s="13">
        <f t="shared" si="78"/>
        <v>0</v>
      </c>
      <c r="DN36" s="13">
        <f t="shared" si="78"/>
        <v>0</v>
      </c>
      <c r="DO36" s="13">
        <f t="shared" si="78"/>
        <v>20</v>
      </c>
      <c r="DP36" s="13">
        <f t="shared" si="78"/>
        <v>0</v>
      </c>
      <c r="DQ36" s="13">
        <f t="shared" si="78"/>
        <v>20</v>
      </c>
      <c r="DR36" s="13">
        <f t="shared" ref="DR36:EA39" si="79">CM36-BG36</f>
        <v>0</v>
      </c>
      <c r="DS36" s="13">
        <f t="shared" si="79"/>
        <v>0</v>
      </c>
      <c r="DT36" s="13">
        <f t="shared" si="79"/>
        <v>20</v>
      </c>
      <c r="DU36" s="13">
        <f t="shared" si="79"/>
        <v>0</v>
      </c>
      <c r="DV36" s="13">
        <f t="shared" si="79"/>
        <v>0</v>
      </c>
      <c r="DW36" s="13">
        <f t="shared" si="79"/>
        <v>0</v>
      </c>
      <c r="DX36" s="13">
        <f t="shared" si="79"/>
        <v>0</v>
      </c>
      <c r="DY36" s="13">
        <f t="shared" si="79"/>
        <v>0</v>
      </c>
      <c r="DZ36" s="13">
        <f t="shared" si="79"/>
        <v>0</v>
      </c>
      <c r="EA36" s="13">
        <f t="shared" si="79"/>
        <v>0</v>
      </c>
      <c r="EB36" s="13">
        <f t="shared" ref="EB36:EB57" si="80">IF($BQ36="СХОД","СХОД",SUM($CW36:$EA36))</f>
        <v>140</v>
      </c>
      <c r="EC36" s="17">
        <f t="shared" si="76"/>
        <v>19</v>
      </c>
      <c r="ED36" s="17">
        <f t="shared" si="38"/>
        <v>35</v>
      </c>
    </row>
    <row r="37" spans="1:134" s="5" customFormat="1" ht="30" x14ac:dyDescent="0.25">
      <c r="A37" s="16">
        <v>319</v>
      </c>
      <c r="B37" s="11" t="s">
        <v>314</v>
      </c>
      <c r="C37" s="74"/>
      <c r="D37" s="11" t="s">
        <v>315</v>
      </c>
      <c r="E37" s="12" t="s">
        <v>316</v>
      </c>
      <c r="F37" s="11" t="s">
        <v>99</v>
      </c>
      <c r="G37" s="16">
        <f t="shared" si="0"/>
        <v>3</v>
      </c>
      <c r="H37" s="23">
        <v>9.3402777777777772E-3</v>
      </c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>
        <v>2.0091435185185186E-3</v>
      </c>
      <c r="W37" s="23">
        <v>2.8935185185185188E-3</v>
      </c>
      <c r="X37" s="23"/>
      <c r="Y37" s="23">
        <v>2.7546296296296294E-3</v>
      </c>
      <c r="Z37" s="23" t="s">
        <v>116</v>
      </c>
      <c r="AA37" s="23">
        <v>2.7662037037037034E-3</v>
      </c>
      <c r="AB37" s="23">
        <v>6.6898148148148142E-3</v>
      </c>
      <c r="AC37" s="23"/>
      <c r="AD37" s="23" t="s">
        <v>116</v>
      </c>
      <c r="AE37" s="23">
        <v>3.9428240740740743E-3</v>
      </c>
      <c r="AF37" s="23">
        <v>1.768287037037037E-3</v>
      </c>
      <c r="AG37" s="23">
        <v>6.828703703703704E-3</v>
      </c>
      <c r="AH37" s="23">
        <v>3.7847222222222223E-3</v>
      </c>
      <c r="AI37" s="23">
        <v>5.5555555555555558E-3</v>
      </c>
      <c r="AJ37" s="23">
        <v>8.4143518518518517E-3</v>
      </c>
      <c r="AK37" s="23" t="s">
        <v>116</v>
      </c>
      <c r="AL37" s="2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>
        <v>10</v>
      </c>
      <c r="BG37" s="13"/>
      <c r="BH37" s="13"/>
      <c r="BI37" s="13"/>
      <c r="BJ37" s="13"/>
      <c r="BK37" s="13">
        <v>30</v>
      </c>
      <c r="BL37" s="13"/>
      <c r="BM37" s="13"/>
      <c r="BN37" s="13"/>
      <c r="BO37" s="13"/>
      <c r="BP37" s="13"/>
      <c r="BQ37" s="13"/>
      <c r="BR37" s="13">
        <f t="shared" si="45"/>
        <v>90</v>
      </c>
      <c r="BS37" s="13">
        <f t="shared" si="46"/>
        <v>0</v>
      </c>
      <c r="BT37" s="13">
        <f t="shared" si="47"/>
        <v>0</v>
      </c>
      <c r="BU37" s="13">
        <f t="shared" si="48"/>
        <v>0</v>
      </c>
      <c r="BV37" s="13">
        <f t="shared" si="49"/>
        <v>0</v>
      </c>
      <c r="BW37" s="13">
        <f t="shared" si="50"/>
        <v>0</v>
      </c>
      <c r="BX37" s="13">
        <f t="shared" si="51"/>
        <v>0</v>
      </c>
      <c r="BY37" s="13">
        <f t="shared" si="52"/>
        <v>0</v>
      </c>
      <c r="BZ37" s="13">
        <f t="shared" si="53"/>
        <v>0</v>
      </c>
      <c r="CA37" s="13">
        <f t="shared" si="54"/>
        <v>0</v>
      </c>
      <c r="CB37" s="13">
        <f t="shared" si="55"/>
        <v>0</v>
      </c>
      <c r="CC37" s="13">
        <f t="shared" si="56"/>
        <v>0</v>
      </c>
      <c r="CD37" s="13">
        <f t="shared" si="57"/>
        <v>0</v>
      </c>
      <c r="CE37" s="13">
        <f t="shared" si="58"/>
        <v>0</v>
      </c>
      <c r="CF37" s="13">
        <f t="shared" si="59"/>
        <v>95</v>
      </c>
      <c r="CG37" s="13">
        <f t="shared" si="60"/>
        <v>95</v>
      </c>
      <c r="CH37" s="13">
        <f t="shared" si="61"/>
        <v>0</v>
      </c>
      <c r="CI37" s="13">
        <f t="shared" si="62"/>
        <v>81</v>
      </c>
      <c r="CJ37" s="13">
        <f t="shared" si="63"/>
        <v>20</v>
      </c>
      <c r="CK37" s="13">
        <f t="shared" si="64"/>
        <v>95</v>
      </c>
      <c r="CL37" s="13">
        <f t="shared" si="65"/>
        <v>90</v>
      </c>
      <c r="CM37" s="13">
        <f t="shared" si="66"/>
        <v>0</v>
      </c>
      <c r="CN37" s="13">
        <f t="shared" si="67"/>
        <v>20</v>
      </c>
      <c r="CO37" s="13">
        <f t="shared" si="68"/>
        <v>72</v>
      </c>
      <c r="CP37" s="13">
        <f t="shared" si="69"/>
        <v>84</v>
      </c>
      <c r="CQ37" s="13">
        <f t="shared" si="70"/>
        <v>87</v>
      </c>
      <c r="CR37" s="13">
        <f t="shared" si="71"/>
        <v>72</v>
      </c>
      <c r="CS37" s="13">
        <f t="shared" si="72"/>
        <v>90</v>
      </c>
      <c r="CT37" s="13">
        <f t="shared" si="73"/>
        <v>87</v>
      </c>
      <c r="CU37" s="13">
        <f t="shared" si="74"/>
        <v>20</v>
      </c>
      <c r="CV37" s="13">
        <f t="shared" si="75"/>
        <v>0</v>
      </c>
      <c r="CW37" s="13">
        <f>BR37</f>
        <v>90</v>
      </c>
      <c r="CX37" s="13">
        <f t="shared" si="77"/>
        <v>0</v>
      </c>
      <c r="CY37" s="13">
        <f t="shared" si="77"/>
        <v>0</v>
      </c>
      <c r="CZ37" s="13">
        <f t="shared" si="77"/>
        <v>0</v>
      </c>
      <c r="DA37" s="13">
        <f t="shared" si="77"/>
        <v>0</v>
      </c>
      <c r="DB37" s="13">
        <f t="shared" si="77"/>
        <v>0</v>
      </c>
      <c r="DC37" s="13">
        <f t="shared" si="77"/>
        <v>0</v>
      </c>
      <c r="DD37" s="13">
        <f t="shared" si="77"/>
        <v>0</v>
      </c>
      <c r="DE37" s="13">
        <f t="shared" si="77"/>
        <v>0</v>
      </c>
      <c r="DF37" s="13">
        <f t="shared" si="77"/>
        <v>0</v>
      </c>
      <c r="DG37" s="13">
        <f t="shared" si="77"/>
        <v>0</v>
      </c>
      <c r="DH37" s="13">
        <f t="shared" si="78"/>
        <v>0</v>
      </c>
      <c r="DI37" s="13">
        <f t="shared" si="78"/>
        <v>0</v>
      </c>
      <c r="DJ37" s="13">
        <f t="shared" si="78"/>
        <v>0</v>
      </c>
      <c r="DK37" s="13">
        <f t="shared" si="78"/>
        <v>95</v>
      </c>
      <c r="DL37" s="13">
        <f t="shared" si="78"/>
        <v>95</v>
      </c>
      <c r="DM37" s="13">
        <f t="shared" si="78"/>
        <v>0</v>
      </c>
      <c r="DN37" s="13">
        <f t="shared" si="78"/>
        <v>81</v>
      </c>
      <c r="DO37" s="13">
        <f t="shared" si="78"/>
        <v>20</v>
      </c>
      <c r="DP37" s="13">
        <f t="shared" si="78"/>
        <v>95</v>
      </c>
      <c r="DQ37" s="13">
        <f t="shared" si="78"/>
        <v>80</v>
      </c>
      <c r="DR37" s="13">
        <f t="shared" si="79"/>
        <v>0</v>
      </c>
      <c r="DS37" s="13">
        <f t="shared" si="79"/>
        <v>20</v>
      </c>
      <c r="DT37" s="13">
        <f t="shared" si="79"/>
        <v>72</v>
      </c>
      <c r="DU37" s="13">
        <f t="shared" si="79"/>
        <v>84</v>
      </c>
      <c r="DV37" s="13">
        <f t="shared" si="79"/>
        <v>57</v>
      </c>
      <c r="DW37" s="13">
        <f t="shared" si="79"/>
        <v>72</v>
      </c>
      <c r="DX37" s="13">
        <f t="shared" si="79"/>
        <v>90</v>
      </c>
      <c r="DY37" s="13">
        <f t="shared" si="79"/>
        <v>87</v>
      </c>
      <c r="DZ37" s="13">
        <f t="shared" si="79"/>
        <v>20</v>
      </c>
      <c r="EA37" s="13">
        <f t="shared" si="79"/>
        <v>0</v>
      </c>
      <c r="EB37" s="13">
        <f t="shared" si="80"/>
        <v>1058</v>
      </c>
      <c r="EC37" s="17">
        <f t="shared" si="76"/>
        <v>4</v>
      </c>
      <c r="ED37" s="17">
        <f t="shared" si="38"/>
        <v>9</v>
      </c>
    </row>
    <row r="38" spans="1:134" s="5" customFormat="1" ht="30" x14ac:dyDescent="0.25">
      <c r="A38" s="16">
        <v>320</v>
      </c>
      <c r="B38" s="11" t="s">
        <v>317</v>
      </c>
      <c r="C38" s="74"/>
      <c r="D38" s="11" t="s">
        <v>263</v>
      </c>
      <c r="E38" s="12" t="s">
        <v>318</v>
      </c>
      <c r="F38" s="11" t="s">
        <v>99</v>
      </c>
      <c r="G38" s="16">
        <f t="shared" si="0"/>
        <v>3</v>
      </c>
      <c r="H38" s="23" t="s">
        <v>116</v>
      </c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>
        <v>4.9594907407407409E-3</v>
      </c>
      <c r="W38" s="23" t="s">
        <v>116</v>
      </c>
      <c r="X38" s="23" t="s">
        <v>116</v>
      </c>
      <c r="Y38" s="23">
        <v>3.7500000000000003E-3</v>
      </c>
      <c r="Z38" s="23" t="s">
        <v>116</v>
      </c>
      <c r="AA38" s="23" t="s">
        <v>116</v>
      </c>
      <c r="AB38" s="23" t="s">
        <v>116</v>
      </c>
      <c r="AC38" s="23" t="s">
        <v>116</v>
      </c>
      <c r="AD38" s="23" t="s">
        <v>116</v>
      </c>
      <c r="AE38" s="23" t="s">
        <v>116</v>
      </c>
      <c r="AF38" s="23">
        <v>3.3094907407407409E-3</v>
      </c>
      <c r="AG38" s="23" t="s">
        <v>116</v>
      </c>
      <c r="AH38" s="23" t="s">
        <v>116</v>
      </c>
      <c r="AI38" s="23" t="s">
        <v>116</v>
      </c>
      <c r="AJ38" s="23" t="s">
        <v>116</v>
      </c>
      <c r="AK38" s="23" t="s">
        <v>116</v>
      </c>
      <c r="AL38" s="2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>
        <v>30</v>
      </c>
      <c r="BK38" s="13"/>
      <c r="BL38" s="13"/>
      <c r="BM38" s="13"/>
      <c r="BN38" s="13"/>
      <c r="BO38" s="13"/>
      <c r="BP38" s="13"/>
      <c r="BQ38" s="13"/>
      <c r="BR38" s="13">
        <f t="shared" si="45"/>
        <v>20</v>
      </c>
      <c r="BS38" s="13">
        <f t="shared" si="46"/>
        <v>0</v>
      </c>
      <c r="BT38" s="13">
        <f t="shared" si="47"/>
        <v>0</v>
      </c>
      <c r="BU38" s="13">
        <f t="shared" si="48"/>
        <v>0</v>
      </c>
      <c r="BV38" s="13">
        <f t="shared" si="49"/>
        <v>0</v>
      </c>
      <c r="BW38" s="13">
        <f t="shared" si="50"/>
        <v>0</v>
      </c>
      <c r="BX38" s="13">
        <f t="shared" si="51"/>
        <v>0</v>
      </c>
      <c r="BY38" s="13">
        <f t="shared" si="52"/>
        <v>0</v>
      </c>
      <c r="BZ38" s="13">
        <f t="shared" si="53"/>
        <v>0</v>
      </c>
      <c r="CA38" s="13">
        <f t="shared" si="54"/>
        <v>0</v>
      </c>
      <c r="CB38" s="13">
        <f t="shared" si="55"/>
        <v>0</v>
      </c>
      <c r="CC38" s="13">
        <f t="shared" si="56"/>
        <v>0</v>
      </c>
      <c r="CD38" s="13">
        <f t="shared" si="57"/>
        <v>0</v>
      </c>
      <c r="CE38" s="13">
        <f t="shared" si="58"/>
        <v>0</v>
      </c>
      <c r="CF38" s="13">
        <f t="shared" si="59"/>
        <v>66</v>
      </c>
      <c r="CG38" s="13">
        <f t="shared" si="60"/>
        <v>20</v>
      </c>
      <c r="CH38" s="13">
        <f t="shared" si="61"/>
        <v>20</v>
      </c>
      <c r="CI38" s="13">
        <f t="shared" si="62"/>
        <v>72</v>
      </c>
      <c r="CJ38" s="13">
        <f t="shared" si="63"/>
        <v>20</v>
      </c>
      <c r="CK38" s="13">
        <f t="shared" si="64"/>
        <v>20</v>
      </c>
      <c r="CL38" s="13">
        <f t="shared" si="65"/>
        <v>20</v>
      </c>
      <c r="CM38" s="13">
        <f t="shared" si="66"/>
        <v>20</v>
      </c>
      <c r="CN38" s="13">
        <f t="shared" si="67"/>
        <v>20</v>
      </c>
      <c r="CO38" s="13">
        <f t="shared" si="68"/>
        <v>20</v>
      </c>
      <c r="CP38" s="13">
        <f t="shared" si="69"/>
        <v>72</v>
      </c>
      <c r="CQ38" s="13">
        <f t="shared" si="70"/>
        <v>20</v>
      </c>
      <c r="CR38" s="13">
        <f t="shared" si="71"/>
        <v>20</v>
      </c>
      <c r="CS38" s="13">
        <f t="shared" si="72"/>
        <v>20</v>
      </c>
      <c r="CT38" s="13">
        <f t="shared" si="73"/>
        <v>20</v>
      </c>
      <c r="CU38" s="13">
        <f t="shared" si="74"/>
        <v>20</v>
      </c>
      <c r="CV38" s="13">
        <f t="shared" si="75"/>
        <v>0</v>
      </c>
      <c r="CW38" s="13">
        <f>BR38</f>
        <v>20</v>
      </c>
      <c r="CX38" s="13">
        <f t="shared" si="77"/>
        <v>0</v>
      </c>
      <c r="CY38" s="13">
        <f t="shared" si="77"/>
        <v>0</v>
      </c>
      <c r="CZ38" s="13">
        <f t="shared" si="77"/>
        <v>0</v>
      </c>
      <c r="DA38" s="13">
        <f t="shared" si="77"/>
        <v>0</v>
      </c>
      <c r="DB38" s="13">
        <f t="shared" si="77"/>
        <v>0</v>
      </c>
      <c r="DC38" s="13">
        <f t="shared" si="77"/>
        <v>0</v>
      </c>
      <c r="DD38" s="13">
        <f t="shared" si="77"/>
        <v>0</v>
      </c>
      <c r="DE38" s="13">
        <f t="shared" si="77"/>
        <v>0</v>
      </c>
      <c r="DF38" s="13">
        <f t="shared" si="77"/>
        <v>0</v>
      </c>
      <c r="DG38" s="13">
        <f t="shared" si="77"/>
        <v>0</v>
      </c>
      <c r="DH38" s="13">
        <f t="shared" si="78"/>
        <v>0</v>
      </c>
      <c r="DI38" s="13">
        <f t="shared" si="78"/>
        <v>0</v>
      </c>
      <c r="DJ38" s="13">
        <f t="shared" si="78"/>
        <v>0</v>
      </c>
      <c r="DK38" s="13">
        <f t="shared" si="78"/>
        <v>66</v>
      </c>
      <c r="DL38" s="13">
        <f t="shared" si="78"/>
        <v>20</v>
      </c>
      <c r="DM38" s="13">
        <f t="shared" si="78"/>
        <v>20</v>
      </c>
      <c r="DN38" s="13">
        <f t="shared" si="78"/>
        <v>72</v>
      </c>
      <c r="DO38" s="13">
        <f t="shared" si="78"/>
        <v>20</v>
      </c>
      <c r="DP38" s="13">
        <f t="shared" si="78"/>
        <v>20</v>
      </c>
      <c r="DQ38" s="13">
        <f t="shared" si="78"/>
        <v>20</v>
      </c>
      <c r="DR38" s="13">
        <f t="shared" si="79"/>
        <v>20</v>
      </c>
      <c r="DS38" s="13">
        <f t="shared" si="79"/>
        <v>20</v>
      </c>
      <c r="DT38" s="13">
        <f t="shared" si="79"/>
        <v>20</v>
      </c>
      <c r="DU38" s="13">
        <f t="shared" si="79"/>
        <v>42</v>
      </c>
      <c r="DV38" s="13">
        <f t="shared" si="79"/>
        <v>20</v>
      </c>
      <c r="DW38" s="13">
        <f t="shared" si="79"/>
        <v>20</v>
      </c>
      <c r="DX38" s="13">
        <f t="shared" si="79"/>
        <v>20</v>
      </c>
      <c r="DY38" s="13">
        <f t="shared" si="79"/>
        <v>20</v>
      </c>
      <c r="DZ38" s="13">
        <f t="shared" si="79"/>
        <v>20</v>
      </c>
      <c r="EA38" s="13">
        <f t="shared" si="79"/>
        <v>0</v>
      </c>
      <c r="EB38" s="13">
        <f>IF($BQ38="СХОД","СХОД",SUM($CW38:$EA38))</f>
        <v>460</v>
      </c>
      <c r="EC38" s="17">
        <f t="shared" si="76"/>
        <v>12</v>
      </c>
      <c r="ED38" s="17">
        <f t="shared" si="38"/>
        <v>25</v>
      </c>
    </row>
    <row r="39" spans="1:134" s="5" customFormat="1" ht="30" x14ac:dyDescent="0.25">
      <c r="A39" s="16">
        <v>208</v>
      </c>
      <c r="B39" s="11" t="s">
        <v>352</v>
      </c>
      <c r="C39" s="74"/>
      <c r="D39" s="11" t="s">
        <v>278</v>
      </c>
      <c r="E39" s="12" t="s">
        <v>307</v>
      </c>
      <c r="F39" s="11" t="s">
        <v>99</v>
      </c>
      <c r="G39" s="16">
        <f>VLOOKUP(F39,Class,2,FALSE)</f>
        <v>3</v>
      </c>
      <c r="H39" s="23">
        <v>1.5636574074074074E-2</v>
      </c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>
        <v>2.1773148148148151E-3</v>
      </c>
      <c r="W39" s="23">
        <v>8.5879629629629622E-3</v>
      </c>
      <c r="X39" s="23"/>
      <c r="Y39" s="23">
        <v>2.3032407407407407E-3</v>
      </c>
      <c r="Z39" s="23"/>
      <c r="AA39" s="23" t="s">
        <v>116</v>
      </c>
      <c r="AB39" s="23" t="s">
        <v>116</v>
      </c>
      <c r="AC39" s="23" t="s">
        <v>116</v>
      </c>
      <c r="AD39" s="23" t="s">
        <v>116</v>
      </c>
      <c r="AE39" s="23">
        <v>2.110763888888889E-3</v>
      </c>
      <c r="AF39" s="23">
        <v>2.4800925925925928E-3</v>
      </c>
      <c r="AG39" s="23" t="s">
        <v>116</v>
      </c>
      <c r="AH39" s="23">
        <v>2.3495370370370371E-3</v>
      </c>
      <c r="AI39" s="23" t="s">
        <v>116</v>
      </c>
      <c r="AJ39" s="23" t="s">
        <v>116</v>
      </c>
      <c r="AK39" s="23"/>
      <c r="AL39" s="2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>
        <f t="shared" si="45"/>
        <v>69</v>
      </c>
      <c r="BS39" s="13">
        <f t="shared" si="46"/>
        <v>0</v>
      </c>
      <c r="BT39" s="13">
        <f t="shared" si="47"/>
        <v>0</v>
      </c>
      <c r="BU39" s="13">
        <f t="shared" si="48"/>
        <v>0</v>
      </c>
      <c r="BV39" s="13">
        <f t="shared" si="49"/>
        <v>0</v>
      </c>
      <c r="BW39" s="13">
        <f t="shared" si="50"/>
        <v>0</v>
      </c>
      <c r="BX39" s="13">
        <f t="shared" si="51"/>
        <v>0</v>
      </c>
      <c r="BY39" s="13">
        <f t="shared" si="52"/>
        <v>0</v>
      </c>
      <c r="BZ39" s="13">
        <f t="shared" si="53"/>
        <v>0</v>
      </c>
      <c r="CA39" s="13">
        <f t="shared" si="54"/>
        <v>0</v>
      </c>
      <c r="CB39" s="13">
        <f t="shared" si="55"/>
        <v>0</v>
      </c>
      <c r="CC39" s="13">
        <f t="shared" si="56"/>
        <v>0</v>
      </c>
      <c r="CD39" s="13">
        <f t="shared" si="57"/>
        <v>0</v>
      </c>
      <c r="CE39" s="13">
        <f t="shared" si="58"/>
        <v>0</v>
      </c>
      <c r="CF39" s="13">
        <f t="shared" si="59"/>
        <v>90</v>
      </c>
      <c r="CG39" s="13">
        <f t="shared" si="60"/>
        <v>87</v>
      </c>
      <c r="CH39" s="13">
        <f t="shared" si="61"/>
        <v>0</v>
      </c>
      <c r="CI39" s="13">
        <f t="shared" si="62"/>
        <v>87</v>
      </c>
      <c r="CJ39" s="13">
        <f t="shared" si="63"/>
        <v>0</v>
      </c>
      <c r="CK39" s="13">
        <f t="shared" si="64"/>
        <v>20</v>
      </c>
      <c r="CL39" s="13">
        <f t="shared" si="65"/>
        <v>20</v>
      </c>
      <c r="CM39" s="13">
        <f t="shared" si="66"/>
        <v>20</v>
      </c>
      <c r="CN39" s="13">
        <f t="shared" si="67"/>
        <v>20</v>
      </c>
      <c r="CO39" s="13">
        <f t="shared" si="68"/>
        <v>100</v>
      </c>
      <c r="CP39" s="13">
        <f t="shared" si="69"/>
        <v>78</v>
      </c>
      <c r="CQ39" s="13">
        <f t="shared" si="70"/>
        <v>20</v>
      </c>
      <c r="CR39" s="13">
        <f t="shared" si="71"/>
        <v>84</v>
      </c>
      <c r="CS39" s="13">
        <f t="shared" si="72"/>
        <v>20</v>
      </c>
      <c r="CT39" s="13">
        <f t="shared" si="73"/>
        <v>20</v>
      </c>
      <c r="CU39" s="13">
        <f t="shared" si="74"/>
        <v>0</v>
      </c>
      <c r="CV39" s="13">
        <f t="shared" si="75"/>
        <v>0</v>
      </c>
      <c r="CW39" s="13">
        <f>BR39</f>
        <v>69</v>
      </c>
      <c r="CX39" s="13">
        <f t="shared" si="77"/>
        <v>0</v>
      </c>
      <c r="CY39" s="13">
        <f t="shared" si="77"/>
        <v>0</v>
      </c>
      <c r="CZ39" s="13">
        <f t="shared" si="77"/>
        <v>0</v>
      </c>
      <c r="DA39" s="13">
        <f t="shared" si="77"/>
        <v>0</v>
      </c>
      <c r="DB39" s="13">
        <f t="shared" si="77"/>
        <v>0</v>
      </c>
      <c r="DC39" s="13">
        <f t="shared" si="77"/>
        <v>0</v>
      </c>
      <c r="DD39" s="13">
        <f t="shared" si="77"/>
        <v>0</v>
      </c>
      <c r="DE39" s="13">
        <f t="shared" si="77"/>
        <v>0</v>
      </c>
      <c r="DF39" s="13">
        <f t="shared" si="77"/>
        <v>0</v>
      </c>
      <c r="DG39" s="13">
        <f t="shared" si="77"/>
        <v>0</v>
      </c>
      <c r="DH39" s="13">
        <f t="shared" si="78"/>
        <v>0</v>
      </c>
      <c r="DI39" s="13">
        <f t="shared" si="78"/>
        <v>0</v>
      </c>
      <c r="DJ39" s="13">
        <f t="shared" si="78"/>
        <v>0</v>
      </c>
      <c r="DK39" s="13">
        <f t="shared" si="78"/>
        <v>90</v>
      </c>
      <c r="DL39" s="13">
        <f t="shared" si="78"/>
        <v>87</v>
      </c>
      <c r="DM39" s="13">
        <f t="shared" si="78"/>
        <v>0</v>
      </c>
      <c r="DN39" s="13">
        <f t="shared" si="78"/>
        <v>87</v>
      </c>
      <c r="DO39" s="13">
        <f t="shared" si="78"/>
        <v>0</v>
      </c>
      <c r="DP39" s="13">
        <f t="shared" si="78"/>
        <v>20</v>
      </c>
      <c r="DQ39" s="13">
        <f t="shared" si="78"/>
        <v>20</v>
      </c>
      <c r="DR39" s="13">
        <f t="shared" si="79"/>
        <v>20</v>
      </c>
      <c r="DS39" s="13">
        <f t="shared" si="79"/>
        <v>20</v>
      </c>
      <c r="DT39" s="13">
        <f t="shared" si="79"/>
        <v>100</v>
      </c>
      <c r="DU39" s="13">
        <f t="shared" si="79"/>
        <v>78</v>
      </c>
      <c r="DV39" s="13">
        <f t="shared" si="79"/>
        <v>20</v>
      </c>
      <c r="DW39" s="13">
        <f t="shared" si="79"/>
        <v>84</v>
      </c>
      <c r="DX39" s="13">
        <f t="shared" si="79"/>
        <v>20</v>
      </c>
      <c r="DY39" s="13">
        <f t="shared" si="79"/>
        <v>20</v>
      </c>
      <c r="DZ39" s="13">
        <f t="shared" si="79"/>
        <v>0</v>
      </c>
      <c r="EA39" s="13">
        <f t="shared" si="79"/>
        <v>0</v>
      </c>
      <c r="EB39" s="13">
        <f t="shared" si="80"/>
        <v>735</v>
      </c>
      <c r="EC39" s="17">
        <f t="shared" si="76"/>
        <v>5</v>
      </c>
      <c r="ED39" s="17">
        <f t="shared" si="38"/>
        <v>14</v>
      </c>
    </row>
    <row r="40" spans="1:134" s="5" customFormat="1" ht="30" x14ac:dyDescent="0.25">
      <c r="A40" s="16">
        <v>400</v>
      </c>
      <c r="B40" s="11" t="s">
        <v>319</v>
      </c>
      <c r="C40" s="74" t="s">
        <v>320</v>
      </c>
      <c r="D40" s="11" t="s">
        <v>226</v>
      </c>
      <c r="E40" s="12" t="s">
        <v>321</v>
      </c>
      <c r="F40" s="11" t="s">
        <v>102</v>
      </c>
      <c r="G40" s="16">
        <f t="shared" si="0"/>
        <v>4</v>
      </c>
      <c r="H40" s="23">
        <v>2.4537037037037036E-3</v>
      </c>
      <c r="I40" s="23"/>
      <c r="J40" s="23">
        <v>3.1249999999999997E-3</v>
      </c>
      <c r="K40" s="23">
        <v>2.6337962962962968E-3</v>
      </c>
      <c r="L40" s="23">
        <v>2.5115740740740741E-3</v>
      </c>
      <c r="M40" s="23">
        <v>2.3379629629629631E-3</v>
      </c>
      <c r="N40" s="23" t="s">
        <v>116</v>
      </c>
      <c r="O40" s="23">
        <v>1.0813657407407408E-3</v>
      </c>
      <c r="P40" s="23">
        <v>2.6829861111111112E-3</v>
      </c>
      <c r="Q40" s="23">
        <v>5.347222222222222E-3</v>
      </c>
      <c r="R40" s="23">
        <v>1.5162037037037036E-3</v>
      </c>
      <c r="S40" s="23">
        <v>2.1643518518518518E-3</v>
      </c>
      <c r="T40" s="23">
        <v>2.7893518518518519E-3</v>
      </c>
      <c r="U40" s="23">
        <v>2.0797453703703703E-3</v>
      </c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13"/>
      <c r="AN40" s="13"/>
      <c r="AO40" s="13"/>
      <c r="AP40" s="13"/>
      <c r="AQ40" s="13"/>
      <c r="AR40" s="13"/>
      <c r="AS40" s="13"/>
      <c r="AT40" s="13"/>
      <c r="AU40" s="13">
        <v>80</v>
      </c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>
        <f t="shared" ref="BR40:BR57" si="81">IFERROR(IF(H40="DNS",0,IF(H40="DNF",20,VLOOKUP(_xlfn.RANK.EQ(H40,H$40:H$57,1),Ochk,2,FALSE))),0)</f>
        <v>100</v>
      </c>
      <c r="BS40" s="13">
        <f t="shared" ref="BS40:BS57" si="82">IFERROR(IF(I40="DNS",0,IF(I40="DNF",20,VLOOKUP(_xlfn.RANK.EQ(I40,I$40:I$57,1),Ochk,2,FALSE))),0)</f>
        <v>0</v>
      </c>
      <c r="BT40" s="13">
        <f t="shared" ref="BT40:BT57" si="83">IFERROR(IF(J40="DNS",0,IF(J40="DNF",20,VLOOKUP(_xlfn.RANK.EQ(J40,J$40:J$57,1),Ochk,2,FALSE))),0)</f>
        <v>78</v>
      </c>
      <c r="BU40" s="13">
        <f t="shared" ref="BU40:BU57" si="84">IFERROR(IF(K40="DNS",0,IF(K40="DNF",20,VLOOKUP(_xlfn.RANK.EQ(K40,K$40:K$57,1),Ochk,2,FALSE))),0)</f>
        <v>63</v>
      </c>
      <c r="BV40" s="13">
        <f t="shared" ref="BV40:BV57" si="85">IFERROR(IF(L40="DNS",0,IF(L40="DNF",20,VLOOKUP(_xlfn.RANK.EQ(L40,L$40:L$57,1),Ochk,2,FALSE))),0)</f>
        <v>78</v>
      </c>
      <c r="BW40" s="13">
        <f t="shared" ref="BW40:BW57" si="86">IFERROR(IF(M40="DNS",0,IF(M40="DNF",20,VLOOKUP(_xlfn.RANK.EQ(M40,M$40:M$57,1),Ochk,2,FALSE))),0)</f>
        <v>60</v>
      </c>
      <c r="BX40" s="13">
        <f t="shared" ref="BX40:BX57" si="87">IFERROR(IF(N40="DNS",0,IF(N40="DNF",20,VLOOKUP(_xlfn.RANK.EQ(N40,N$40:N$57,1),Ochk,2,FALSE))),0)</f>
        <v>20</v>
      </c>
      <c r="BY40" s="13">
        <f t="shared" ref="BY40:BY57" si="88">IFERROR(IF(O40="DNS",0,IF(O40="DNF",20,VLOOKUP(_xlfn.RANK.EQ(O40,O$40:O$57,1),Ochk,2,FALSE))),0)</f>
        <v>84</v>
      </c>
      <c r="BZ40" s="13">
        <f t="shared" ref="BZ40:BZ57" si="89">IFERROR(IF(P40="DNS",0,IF(P40="DNF",20,VLOOKUP(_xlfn.RANK.EQ(P40,P$40:P$57,1),Ochk,2,FALSE))),0)</f>
        <v>75</v>
      </c>
      <c r="CA40" s="13">
        <f t="shared" ref="CA40:CA57" si="90">IFERROR(IF(Q40="DNS",0,IF(Q40="DNF",20,VLOOKUP(_xlfn.RANK.EQ(Q40,Q$40:Q$57,1),Ochk,2,FALSE))),0)</f>
        <v>58</v>
      </c>
      <c r="CB40" s="13">
        <f t="shared" ref="CB40:CB57" si="91">IFERROR(IF(R40="DNS",0,IF(R40="DNF",20,VLOOKUP(_xlfn.RANK.EQ(R40,R$40:R$57,1),Ochk,2,FALSE))),0)</f>
        <v>81</v>
      </c>
      <c r="CC40" s="13">
        <f t="shared" ref="CC40:CC57" si="92">IFERROR(IF(S40="DNS",0,IF(S40="DNF",20,VLOOKUP(_xlfn.RANK.EQ(S40,S$40:S$57,1),Ochk,2,FALSE))),0)</f>
        <v>69</v>
      </c>
      <c r="CD40" s="13">
        <f t="shared" ref="CD40:CD57" si="93">IFERROR(IF(T40="DNS",0,IF(T40="DNF",20,VLOOKUP(_xlfn.RANK.EQ(T40,T$40:T$57,1),Ochk,2,FALSE))),0)</f>
        <v>63</v>
      </c>
      <c r="CE40" s="13">
        <f t="shared" ref="CE40:CE57" si="94">IFERROR(IF(U40="DNS",0,IF(U40="DNF",20,VLOOKUP(_xlfn.RANK.EQ(U40,U$40:U$57,1),Ochk,2,FALSE))),0)</f>
        <v>81</v>
      </c>
      <c r="CF40" s="13">
        <f t="shared" ref="CF40:CF57" si="95">IFERROR(IF(V40="DNS",0,IF(V40="DNF",20,VLOOKUP(_xlfn.RANK.EQ(V40,V$40:V$57,1),Ochk,2,FALSE))),0)</f>
        <v>0</v>
      </c>
      <c r="CG40" s="13">
        <f t="shared" ref="CG40:CG57" si="96">IFERROR(IF(W40="DNS",0,IF(W40="DNF",20,VLOOKUP(_xlfn.RANK.EQ(W40,W$40:W$57,1),Ochk,2,FALSE))),0)</f>
        <v>0</v>
      </c>
      <c r="CH40" s="13">
        <f t="shared" ref="CH40:CH57" si="97">IFERROR(IF(X40="DNS",0,IF(X40="DNF",20,VLOOKUP(_xlfn.RANK.EQ(X40,X$40:X$57,1),Ochk,2,FALSE))),0)</f>
        <v>0</v>
      </c>
      <c r="CI40" s="13">
        <f t="shared" ref="CI40:CI57" si="98">IFERROR(IF(Y40="DNS",0,IF(Y40="DNF",20,VLOOKUP(_xlfn.RANK.EQ(Y40,Y$40:Y$57,1),Ochk,2,FALSE))),0)</f>
        <v>0</v>
      </c>
      <c r="CJ40" s="13">
        <f t="shared" ref="CJ40:CJ57" si="99">IFERROR(IF(Z40="DNS",0,IF(Z40="DNF",20,VLOOKUP(_xlfn.RANK.EQ(Z40,Z$40:Z$57,1),Ochk,2,FALSE))),0)</f>
        <v>0</v>
      </c>
      <c r="CK40" s="13">
        <f t="shared" ref="CK40:CK57" si="100">IFERROR(IF(AA40="DNS",0,IF(AA40="DNF",20,VLOOKUP(_xlfn.RANK.EQ(AA40,AA$40:AA$57,1),Ochk,2,FALSE))),0)</f>
        <v>0</v>
      </c>
      <c r="CL40" s="13">
        <f t="shared" ref="CL40:CL57" si="101">IFERROR(IF(AB40="DNS",0,IF(AB40="DNF",20,VLOOKUP(_xlfn.RANK.EQ(AB40,AB$40:AB$57,1),Ochk,2,FALSE))),0)</f>
        <v>0</v>
      </c>
      <c r="CM40" s="13">
        <f t="shared" ref="CM40:CM57" si="102">IFERROR(IF(AC40="DNS",0,IF(AC40="DNF",20,VLOOKUP(_xlfn.RANK.EQ(AC40,AC$40:AC$57,1),Ochk,2,FALSE))),0)</f>
        <v>0</v>
      </c>
      <c r="CN40" s="13">
        <f t="shared" ref="CN40:CN57" si="103">IFERROR(IF(AD40="DNS",0,IF(AD40="DNF",20,VLOOKUP(_xlfn.RANK.EQ(AD40,AD$40:AD$57,1),Ochk,2,FALSE))),0)</f>
        <v>0</v>
      </c>
      <c r="CO40" s="13">
        <f t="shared" ref="CO40:CO57" si="104">IFERROR(IF(AE40="DNS",0,IF(AE40="DNF",20,VLOOKUP(_xlfn.RANK.EQ(AE40,AE$40:AE$57,1),Ochk,2,FALSE))),0)</f>
        <v>0</v>
      </c>
      <c r="CP40" s="13">
        <f t="shared" ref="CP40:CP57" si="105">IFERROR(IF(AF40="DNS",0,IF(AF40="DNF",20,VLOOKUP(_xlfn.RANK.EQ(AF40,AF$40:AF$57,1),Ochk,2,FALSE))),0)</f>
        <v>0</v>
      </c>
      <c r="CQ40" s="13">
        <f t="shared" ref="CQ40:CQ57" si="106">IFERROR(IF(AG40="DNS",0,IF(AG40="DNF",20,VLOOKUP(_xlfn.RANK.EQ(AG40,AG$40:AG$57,1),Ochk,2,FALSE))),0)</f>
        <v>0</v>
      </c>
      <c r="CR40" s="13">
        <f t="shared" ref="CR40:CR57" si="107">IFERROR(IF(AH40="DNS",0,IF(AH40="DNF",20,VLOOKUP(_xlfn.RANK.EQ(AH40,AH$40:AH$57,1),Ochk,2,FALSE))),0)</f>
        <v>0</v>
      </c>
      <c r="CS40" s="13">
        <f t="shared" ref="CS40:CS57" si="108">IFERROR(IF(AI40="DNS",0,IF(AI40="DNF",20,VLOOKUP(_xlfn.RANK.EQ(AI40,AI$40:AI$57,1),Ochk,2,FALSE))),0)</f>
        <v>0</v>
      </c>
      <c r="CT40" s="13">
        <f t="shared" ref="CT40:CT57" si="109">IFERROR(IF(AJ40="DNS",0,IF(AJ40="DNF",20,VLOOKUP(_xlfn.RANK.EQ(AJ40,AJ$40:AJ$57,1),Ochk,2,FALSE))),0)</f>
        <v>0</v>
      </c>
      <c r="CU40" s="13">
        <f t="shared" ref="CU40:CU57" si="110">IFERROR(IF(AK40="DNS",0,IF(AK40="DNF",20,VLOOKUP(_xlfn.RANK.EQ(AK40,AK$40:AK$57,1),Ochk,2,FALSE))),0)</f>
        <v>0</v>
      </c>
      <c r="CV40" s="13">
        <f t="shared" ref="CV40:CV57" si="111">IFERROR(IF(AL40="DNS",0,IF(AL40="DNF",20,VLOOKUP(_xlfn.RANK.EQ(AL40,AL$40:AL$57,1),Ochk,2,FALSE))),0)</f>
        <v>0</v>
      </c>
      <c r="CW40" s="13">
        <f t="shared" ref="CW40:CW57" si="112">BR40</f>
        <v>100</v>
      </c>
      <c r="CX40" s="13">
        <f t="shared" ref="CX40:CX57" si="113">BS40-AM40</f>
        <v>0</v>
      </c>
      <c r="CY40" s="13">
        <f t="shared" ref="CY40:DH43" si="114">BT40-AN40</f>
        <v>78</v>
      </c>
      <c r="CZ40" s="13">
        <f t="shared" si="114"/>
        <v>63</v>
      </c>
      <c r="DA40" s="13">
        <f t="shared" si="114"/>
        <v>78</v>
      </c>
      <c r="DB40" s="13">
        <f t="shared" si="114"/>
        <v>60</v>
      </c>
      <c r="DC40" s="13">
        <f t="shared" si="114"/>
        <v>20</v>
      </c>
      <c r="DD40" s="13">
        <f t="shared" si="114"/>
        <v>84</v>
      </c>
      <c r="DE40" s="13">
        <f t="shared" si="114"/>
        <v>75</v>
      </c>
      <c r="DF40" s="13">
        <v>0</v>
      </c>
      <c r="DG40" s="13">
        <f t="shared" si="114"/>
        <v>81</v>
      </c>
      <c r="DH40" s="13">
        <f t="shared" si="114"/>
        <v>69</v>
      </c>
      <c r="DI40" s="13">
        <f t="shared" ref="DI40:DR43" si="115">CD40-AX40</f>
        <v>63</v>
      </c>
      <c r="DJ40" s="13">
        <f t="shared" si="115"/>
        <v>81</v>
      </c>
      <c r="DK40" s="13">
        <f t="shared" si="115"/>
        <v>0</v>
      </c>
      <c r="DL40" s="13">
        <f t="shared" si="115"/>
        <v>0</v>
      </c>
      <c r="DM40" s="13">
        <f t="shared" si="115"/>
        <v>0</v>
      </c>
      <c r="DN40" s="13">
        <f t="shared" si="115"/>
        <v>0</v>
      </c>
      <c r="DO40" s="13">
        <f t="shared" si="115"/>
        <v>0</v>
      </c>
      <c r="DP40" s="13">
        <f t="shared" si="115"/>
        <v>0</v>
      </c>
      <c r="DQ40" s="13">
        <f t="shared" si="115"/>
        <v>0</v>
      </c>
      <c r="DR40" s="13">
        <f t="shared" si="115"/>
        <v>0</v>
      </c>
      <c r="DS40" s="13">
        <f t="shared" ref="DS40:EA43" si="116">CN40-BH40</f>
        <v>0</v>
      </c>
      <c r="DT40" s="13">
        <f t="shared" si="116"/>
        <v>0</v>
      </c>
      <c r="DU40" s="13">
        <f t="shared" si="116"/>
        <v>0</v>
      </c>
      <c r="DV40" s="13">
        <f t="shared" si="116"/>
        <v>0</v>
      </c>
      <c r="DW40" s="13">
        <f t="shared" si="116"/>
        <v>0</v>
      </c>
      <c r="DX40" s="13">
        <f t="shared" si="116"/>
        <v>0</v>
      </c>
      <c r="DY40" s="13">
        <f t="shared" si="116"/>
        <v>0</v>
      </c>
      <c r="DZ40" s="13">
        <f t="shared" si="116"/>
        <v>0</v>
      </c>
      <c r="EA40" s="13">
        <f t="shared" si="116"/>
        <v>0</v>
      </c>
      <c r="EB40" s="13">
        <f t="shared" si="80"/>
        <v>852</v>
      </c>
      <c r="EC40" s="17">
        <f t="shared" ref="EC40:EC57" si="117">IFERROR(IF(EB40="СХОД","-",_xlfn.RANK.EQ(EB40,EB$40:EB$57,0)),"")</f>
        <v>11</v>
      </c>
      <c r="ED40" s="17"/>
    </row>
    <row r="41" spans="1:134" s="5" customFormat="1" ht="30" x14ac:dyDescent="0.25">
      <c r="A41" s="16">
        <v>401</v>
      </c>
      <c r="B41" s="11" t="s">
        <v>322</v>
      </c>
      <c r="C41" s="74"/>
      <c r="D41" s="11" t="s">
        <v>263</v>
      </c>
      <c r="E41" s="12" t="s">
        <v>323</v>
      </c>
      <c r="F41" s="11" t="s">
        <v>102</v>
      </c>
      <c r="G41" s="16">
        <f t="shared" si="0"/>
        <v>4</v>
      </c>
      <c r="H41" s="23">
        <v>3.7847222222222223E-3</v>
      </c>
      <c r="I41" s="23"/>
      <c r="J41" s="23" t="s">
        <v>116</v>
      </c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13"/>
      <c r="AN41" s="13">
        <v>20</v>
      </c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 t="s">
        <v>151</v>
      </c>
      <c r="BR41" s="13">
        <f t="shared" si="81"/>
        <v>56</v>
      </c>
      <c r="BS41" s="13">
        <f t="shared" si="82"/>
        <v>0</v>
      </c>
      <c r="BT41" s="13">
        <f t="shared" si="83"/>
        <v>20</v>
      </c>
      <c r="BU41" s="13">
        <f t="shared" si="84"/>
        <v>0</v>
      </c>
      <c r="BV41" s="13">
        <f t="shared" si="85"/>
        <v>0</v>
      </c>
      <c r="BW41" s="13">
        <f t="shared" si="86"/>
        <v>0</v>
      </c>
      <c r="BX41" s="13">
        <f t="shared" si="87"/>
        <v>0</v>
      </c>
      <c r="BY41" s="13">
        <f t="shared" si="88"/>
        <v>0</v>
      </c>
      <c r="BZ41" s="13">
        <f t="shared" si="89"/>
        <v>0</v>
      </c>
      <c r="CA41" s="13">
        <f t="shared" si="90"/>
        <v>0</v>
      </c>
      <c r="CB41" s="13">
        <f t="shared" si="91"/>
        <v>0</v>
      </c>
      <c r="CC41" s="13">
        <f t="shared" si="92"/>
        <v>0</v>
      </c>
      <c r="CD41" s="13">
        <f t="shared" si="93"/>
        <v>0</v>
      </c>
      <c r="CE41" s="13">
        <f t="shared" si="94"/>
        <v>0</v>
      </c>
      <c r="CF41" s="13">
        <f t="shared" si="95"/>
        <v>0</v>
      </c>
      <c r="CG41" s="13">
        <f t="shared" si="96"/>
        <v>0</v>
      </c>
      <c r="CH41" s="13">
        <f t="shared" si="97"/>
        <v>0</v>
      </c>
      <c r="CI41" s="13">
        <f t="shared" si="98"/>
        <v>0</v>
      </c>
      <c r="CJ41" s="13">
        <f t="shared" si="99"/>
        <v>0</v>
      </c>
      <c r="CK41" s="13">
        <f t="shared" si="100"/>
        <v>0</v>
      </c>
      <c r="CL41" s="13">
        <f t="shared" si="101"/>
        <v>0</v>
      </c>
      <c r="CM41" s="13">
        <f t="shared" si="102"/>
        <v>0</v>
      </c>
      <c r="CN41" s="13">
        <f t="shared" si="103"/>
        <v>0</v>
      </c>
      <c r="CO41" s="13">
        <f t="shared" si="104"/>
        <v>0</v>
      </c>
      <c r="CP41" s="13">
        <f t="shared" si="105"/>
        <v>0</v>
      </c>
      <c r="CQ41" s="13">
        <f t="shared" si="106"/>
        <v>0</v>
      </c>
      <c r="CR41" s="13">
        <f t="shared" si="107"/>
        <v>0</v>
      </c>
      <c r="CS41" s="13">
        <f t="shared" si="108"/>
        <v>0</v>
      </c>
      <c r="CT41" s="13">
        <f t="shared" si="109"/>
        <v>0</v>
      </c>
      <c r="CU41" s="13">
        <f t="shared" si="110"/>
        <v>0</v>
      </c>
      <c r="CV41" s="13">
        <f t="shared" si="111"/>
        <v>0</v>
      </c>
      <c r="CW41" s="13">
        <f t="shared" si="112"/>
        <v>56</v>
      </c>
      <c r="CX41" s="13">
        <f t="shared" si="113"/>
        <v>0</v>
      </c>
      <c r="CY41" s="13">
        <f t="shared" si="114"/>
        <v>0</v>
      </c>
      <c r="CZ41" s="13">
        <f t="shared" si="114"/>
        <v>0</v>
      </c>
      <c r="DA41" s="13">
        <f t="shared" si="114"/>
        <v>0</v>
      </c>
      <c r="DB41" s="13">
        <f t="shared" si="114"/>
        <v>0</v>
      </c>
      <c r="DC41" s="13">
        <f t="shared" si="114"/>
        <v>0</v>
      </c>
      <c r="DD41" s="13">
        <f t="shared" si="114"/>
        <v>0</v>
      </c>
      <c r="DE41" s="13">
        <f t="shared" si="114"/>
        <v>0</v>
      </c>
      <c r="DF41" s="13">
        <f t="shared" si="114"/>
        <v>0</v>
      </c>
      <c r="DG41" s="13">
        <f t="shared" si="114"/>
        <v>0</v>
      </c>
      <c r="DH41" s="13">
        <f t="shared" si="114"/>
        <v>0</v>
      </c>
      <c r="DI41" s="13">
        <f t="shared" si="115"/>
        <v>0</v>
      </c>
      <c r="DJ41" s="13">
        <f t="shared" si="115"/>
        <v>0</v>
      </c>
      <c r="DK41" s="13">
        <f t="shared" si="115"/>
        <v>0</v>
      </c>
      <c r="DL41" s="13">
        <f t="shared" si="115"/>
        <v>0</v>
      </c>
      <c r="DM41" s="13">
        <f t="shared" si="115"/>
        <v>0</v>
      </c>
      <c r="DN41" s="13">
        <f t="shared" si="115"/>
        <v>0</v>
      </c>
      <c r="DO41" s="13">
        <f t="shared" si="115"/>
        <v>0</v>
      </c>
      <c r="DP41" s="13">
        <f t="shared" si="115"/>
        <v>0</v>
      </c>
      <c r="DQ41" s="13">
        <f t="shared" si="115"/>
        <v>0</v>
      </c>
      <c r="DR41" s="13">
        <f t="shared" si="115"/>
        <v>0</v>
      </c>
      <c r="DS41" s="13">
        <f t="shared" si="116"/>
        <v>0</v>
      </c>
      <c r="DT41" s="13">
        <f t="shared" si="116"/>
        <v>0</v>
      </c>
      <c r="DU41" s="13">
        <f t="shared" si="116"/>
        <v>0</v>
      </c>
      <c r="DV41" s="13">
        <f t="shared" si="116"/>
        <v>0</v>
      </c>
      <c r="DW41" s="13">
        <f t="shared" si="116"/>
        <v>0</v>
      </c>
      <c r="DX41" s="13">
        <f t="shared" si="116"/>
        <v>0</v>
      </c>
      <c r="DY41" s="13">
        <f t="shared" si="116"/>
        <v>0</v>
      </c>
      <c r="DZ41" s="13">
        <f t="shared" si="116"/>
        <v>0</v>
      </c>
      <c r="EA41" s="13">
        <f t="shared" si="116"/>
        <v>0</v>
      </c>
      <c r="EB41" s="13" t="str">
        <f t="shared" si="80"/>
        <v>СХОД</v>
      </c>
      <c r="EC41" s="17" t="str">
        <f t="shared" si="117"/>
        <v>-</v>
      </c>
      <c r="ED41" s="17"/>
    </row>
    <row r="42" spans="1:134" s="5" customFormat="1" ht="30" x14ac:dyDescent="0.25">
      <c r="A42" s="16">
        <v>402</v>
      </c>
      <c r="B42" s="11" t="s">
        <v>324</v>
      </c>
      <c r="C42" s="74" t="s">
        <v>325</v>
      </c>
      <c r="D42" s="11" t="s">
        <v>326</v>
      </c>
      <c r="E42" s="12" t="s">
        <v>327</v>
      </c>
      <c r="F42" s="11" t="s">
        <v>102</v>
      </c>
      <c r="G42" s="16">
        <f t="shared" si="0"/>
        <v>4</v>
      </c>
      <c r="H42" s="23">
        <v>2.615740740740741E-3</v>
      </c>
      <c r="I42" s="23"/>
      <c r="J42" s="23">
        <v>2.685185185185185E-3</v>
      </c>
      <c r="K42" s="23">
        <v>1.7415509259259259E-3</v>
      </c>
      <c r="L42" s="23">
        <v>1.6087962962962963E-3</v>
      </c>
      <c r="M42" s="23">
        <v>1.736111111111111E-3</v>
      </c>
      <c r="N42" s="23">
        <v>1.5245370370370369E-3</v>
      </c>
      <c r="O42" s="23">
        <v>8.1481481481481476E-4</v>
      </c>
      <c r="P42" s="23">
        <v>1.8030092592592594E-3</v>
      </c>
      <c r="Q42" s="23">
        <v>3.0092592592592588E-3</v>
      </c>
      <c r="R42" s="23">
        <v>1.4127314814814816E-3</v>
      </c>
      <c r="S42" s="23">
        <v>1.4583333333333334E-3</v>
      </c>
      <c r="T42" s="23">
        <v>2.3495370370370371E-3</v>
      </c>
      <c r="U42" s="23">
        <v>1.915162037037037E-3</v>
      </c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>
        <f t="shared" si="81"/>
        <v>90</v>
      </c>
      <c r="BS42" s="13">
        <f t="shared" si="82"/>
        <v>0</v>
      </c>
      <c r="BT42" s="13">
        <f t="shared" si="83"/>
        <v>100</v>
      </c>
      <c r="BU42" s="13">
        <f t="shared" si="84"/>
        <v>90</v>
      </c>
      <c r="BV42" s="13">
        <f t="shared" si="85"/>
        <v>90</v>
      </c>
      <c r="BW42" s="13">
        <f t="shared" si="86"/>
        <v>84</v>
      </c>
      <c r="BX42" s="13">
        <f t="shared" si="87"/>
        <v>90</v>
      </c>
      <c r="BY42" s="13">
        <f t="shared" si="88"/>
        <v>95</v>
      </c>
      <c r="BZ42" s="13">
        <f t="shared" si="89"/>
        <v>95</v>
      </c>
      <c r="CA42" s="13">
        <f t="shared" si="90"/>
        <v>95</v>
      </c>
      <c r="CB42" s="13">
        <f t="shared" si="91"/>
        <v>84</v>
      </c>
      <c r="CC42" s="13">
        <f t="shared" si="92"/>
        <v>90</v>
      </c>
      <c r="CD42" s="13">
        <f t="shared" si="93"/>
        <v>78</v>
      </c>
      <c r="CE42" s="13">
        <f t="shared" si="94"/>
        <v>90</v>
      </c>
      <c r="CF42" s="13">
        <f t="shared" si="95"/>
        <v>0</v>
      </c>
      <c r="CG42" s="13">
        <f t="shared" si="96"/>
        <v>0</v>
      </c>
      <c r="CH42" s="13">
        <f t="shared" si="97"/>
        <v>0</v>
      </c>
      <c r="CI42" s="13">
        <f t="shared" si="98"/>
        <v>0</v>
      </c>
      <c r="CJ42" s="13">
        <f t="shared" si="99"/>
        <v>0</v>
      </c>
      <c r="CK42" s="13">
        <f t="shared" si="100"/>
        <v>0</v>
      </c>
      <c r="CL42" s="13">
        <f t="shared" si="101"/>
        <v>0</v>
      </c>
      <c r="CM42" s="13">
        <f t="shared" si="102"/>
        <v>0</v>
      </c>
      <c r="CN42" s="13">
        <f t="shared" si="103"/>
        <v>0</v>
      </c>
      <c r="CO42" s="13">
        <f t="shared" si="104"/>
        <v>0</v>
      </c>
      <c r="CP42" s="13">
        <f t="shared" si="105"/>
        <v>0</v>
      </c>
      <c r="CQ42" s="13">
        <f t="shared" si="106"/>
        <v>0</v>
      </c>
      <c r="CR42" s="13">
        <f t="shared" si="107"/>
        <v>0</v>
      </c>
      <c r="CS42" s="13">
        <f t="shared" si="108"/>
        <v>0</v>
      </c>
      <c r="CT42" s="13">
        <f t="shared" si="109"/>
        <v>0</v>
      </c>
      <c r="CU42" s="13">
        <f t="shared" si="110"/>
        <v>0</v>
      </c>
      <c r="CV42" s="13">
        <f t="shared" si="111"/>
        <v>0</v>
      </c>
      <c r="CW42" s="13">
        <f t="shared" si="112"/>
        <v>90</v>
      </c>
      <c r="CX42" s="13">
        <f t="shared" si="113"/>
        <v>0</v>
      </c>
      <c r="CY42" s="13">
        <f t="shared" si="114"/>
        <v>100</v>
      </c>
      <c r="CZ42" s="13">
        <f t="shared" si="114"/>
        <v>90</v>
      </c>
      <c r="DA42" s="13">
        <f t="shared" si="114"/>
        <v>90</v>
      </c>
      <c r="DB42" s="13">
        <f t="shared" si="114"/>
        <v>84</v>
      </c>
      <c r="DC42" s="13">
        <f t="shared" si="114"/>
        <v>90</v>
      </c>
      <c r="DD42" s="13">
        <f t="shared" si="114"/>
        <v>95</v>
      </c>
      <c r="DE42" s="13">
        <f t="shared" si="114"/>
        <v>95</v>
      </c>
      <c r="DF42" s="13">
        <f t="shared" si="114"/>
        <v>95</v>
      </c>
      <c r="DG42" s="13">
        <f t="shared" si="114"/>
        <v>84</v>
      </c>
      <c r="DH42" s="13">
        <f t="shared" si="114"/>
        <v>90</v>
      </c>
      <c r="DI42" s="13">
        <f t="shared" si="115"/>
        <v>78</v>
      </c>
      <c r="DJ42" s="13">
        <f t="shared" si="115"/>
        <v>90</v>
      </c>
      <c r="DK42" s="13">
        <f t="shared" si="115"/>
        <v>0</v>
      </c>
      <c r="DL42" s="13">
        <f t="shared" si="115"/>
        <v>0</v>
      </c>
      <c r="DM42" s="13">
        <f t="shared" si="115"/>
        <v>0</v>
      </c>
      <c r="DN42" s="13">
        <f t="shared" si="115"/>
        <v>0</v>
      </c>
      <c r="DO42" s="13">
        <f t="shared" si="115"/>
        <v>0</v>
      </c>
      <c r="DP42" s="13">
        <f t="shared" si="115"/>
        <v>0</v>
      </c>
      <c r="DQ42" s="13">
        <f t="shared" si="115"/>
        <v>0</v>
      </c>
      <c r="DR42" s="13">
        <f t="shared" si="115"/>
        <v>0</v>
      </c>
      <c r="DS42" s="13">
        <f t="shared" si="116"/>
        <v>0</v>
      </c>
      <c r="DT42" s="13">
        <f t="shared" si="116"/>
        <v>0</v>
      </c>
      <c r="DU42" s="13">
        <f t="shared" si="116"/>
        <v>0</v>
      </c>
      <c r="DV42" s="13">
        <f t="shared" si="116"/>
        <v>0</v>
      </c>
      <c r="DW42" s="13">
        <f t="shared" si="116"/>
        <v>0</v>
      </c>
      <c r="DX42" s="13">
        <f t="shared" si="116"/>
        <v>0</v>
      </c>
      <c r="DY42" s="13">
        <f t="shared" si="116"/>
        <v>0</v>
      </c>
      <c r="DZ42" s="13">
        <f t="shared" si="116"/>
        <v>0</v>
      </c>
      <c r="EA42" s="13">
        <f t="shared" si="116"/>
        <v>0</v>
      </c>
      <c r="EB42" s="13">
        <f t="shared" si="80"/>
        <v>1171</v>
      </c>
      <c r="EC42" s="17">
        <f t="shared" si="117"/>
        <v>1</v>
      </c>
      <c r="ED42" s="17"/>
    </row>
    <row r="43" spans="1:134" s="5" customFormat="1" ht="30" x14ac:dyDescent="0.25">
      <c r="A43" s="16">
        <v>403</v>
      </c>
      <c r="B43" s="11" t="s">
        <v>328</v>
      </c>
      <c r="C43" s="74"/>
      <c r="D43" s="11" t="s">
        <v>263</v>
      </c>
      <c r="E43" s="12" t="s">
        <v>323</v>
      </c>
      <c r="F43" s="11" t="s">
        <v>102</v>
      </c>
      <c r="G43" s="16">
        <f t="shared" si="0"/>
        <v>4</v>
      </c>
      <c r="H43" s="23">
        <v>3.7615740740740739E-3</v>
      </c>
      <c r="I43" s="23"/>
      <c r="J43" s="23">
        <v>3.2407407407407406E-3</v>
      </c>
      <c r="K43" s="23">
        <v>2.2576388888888889E-3</v>
      </c>
      <c r="L43" s="23">
        <v>2.7726851851851853E-3</v>
      </c>
      <c r="M43" s="23">
        <v>1.9560185185185184E-3</v>
      </c>
      <c r="N43" s="23">
        <v>2.2685185185185182E-3</v>
      </c>
      <c r="O43" s="23">
        <v>1.3523148148148149E-3</v>
      </c>
      <c r="P43" s="23">
        <v>2.9299768518518516E-3</v>
      </c>
      <c r="Q43" s="23">
        <v>4.386574074074074E-3</v>
      </c>
      <c r="R43" s="23">
        <v>2.3098379629629628E-3</v>
      </c>
      <c r="S43" s="23">
        <v>2.4768518518518516E-3</v>
      </c>
      <c r="T43" s="23">
        <v>2.5925925925925925E-3</v>
      </c>
      <c r="U43" s="23">
        <v>2.6193287037037036E-3</v>
      </c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13"/>
      <c r="AN43" s="13"/>
      <c r="AO43" s="13"/>
      <c r="AP43" s="13"/>
      <c r="AQ43" s="13"/>
      <c r="AR43" s="13"/>
      <c r="AS43" s="13"/>
      <c r="AT43" s="13"/>
      <c r="AU43" s="13"/>
      <c r="AV43" s="13">
        <v>10</v>
      </c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>
        <f t="shared" si="81"/>
        <v>58</v>
      </c>
      <c r="BS43" s="13">
        <f t="shared" si="82"/>
        <v>0</v>
      </c>
      <c r="BT43" s="13">
        <f t="shared" si="83"/>
        <v>72</v>
      </c>
      <c r="BU43" s="13">
        <f t="shared" si="84"/>
        <v>72</v>
      </c>
      <c r="BV43" s="13">
        <f t="shared" si="85"/>
        <v>69</v>
      </c>
      <c r="BW43" s="13">
        <f t="shared" si="86"/>
        <v>75</v>
      </c>
      <c r="BX43" s="13">
        <f t="shared" si="87"/>
        <v>75</v>
      </c>
      <c r="BY43" s="13">
        <f t="shared" si="88"/>
        <v>75</v>
      </c>
      <c r="BZ43" s="13">
        <f t="shared" si="89"/>
        <v>72</v>
      </c>
      <c r="CA43" s="13">
        <f t="shared" si="90"/>
        <v>66</v>
      </c>
      <c r="CB43" s="13">
        <f t="shared" si="91"/>
        <v>54</v>
      </c>
      <c r="CC43" s="13">
        <f t="shared" si="92"/>
        <v>63</v>
      </c>
      <c r="CD43" s="13">
        <f t="shared" si="93"/>
        <v>72</v>
      </c>
      <c r="CE43" s="13">
        <f t="shared" si="94"/>
        <v>66</v>
      </c>
      <c r="CF43" s="13">
        <f t="shared" si="95"/>
        <v>0</v>
      </c>
      <c r="CG43" s="13">
        <f t="shared" si="96"/>
        <v>0</v>
      </c>
      <c r="CH43" s="13">
        <f t="shared" si="97"/>
        <v>0</v>
      </c>
      <c r="CI43" s="13">
        <f t="shared" si="98"/>
        <v>0</v>
      </c>
      <c r="CJ43" s="13">
        <f t="shared" si="99"/>
        <v>0</v>
      </c>
      <c r="CK43" s="13">
        <f t="shared" si="100"/>
        <v>0</v>
      </c>
      <c r="CL43" s="13">
        <f t="shared" si="101"/>
        <v>0</v>
      </c>
      <c r="CM43" s="13">
        <f t="shared" si="102"/>
        <v>0</v>
      </c>
      <c r="CN43" s="13">
        <f t="shared" si="103"/>
        <v>0</v>
      </c>
      <c r="CO43" s="13">
        <f t="shared" si="104"/>
        <v>0</v>
      </c>
      <c r="CP43" s="13">
        <f t="shared" si="105"/>
        <v>0</v>
      </c>
      <c r="CQ43" s="13">
        <f t="shared" si="106"/>
        <v>0</v>
      </c>
      <c r="CR43" s="13">
        <f t="shared" si="107"/>
        <v>0</v>
      </c>
      <c r="CS43" s="13">
        <f t="shared" si="108"/>
        <v>0</v>
      </c>
      <c r="CT43" s="13">
        <f t="shared" si="109"/>
        <v>0</v>
      </c>
      <c r="CU43" s="13">
        <f t="shared" si="110"/>
        <v>0</v>
      </c>
      <c r="CV43" s="13">
        <f t="shared" si="111"/>
        <v>0</v>
      </c>
      <c r="CW43" s="13">
        <f t="shared" si="112"/>
        <v>58</v>
      </c>
      <c r="CX43" s="13">
        <f t="shared" si="113"/>
        <v>0</v>
      </c>
      <c r="CY43" s="13">
        <f t="shared" si="114"/>
        <v>72</v>
      </c>
      <c r="CZ43" s="13">
        <f t="shared" si="114"/>
        <v>72</v>
      </c>
      <c r="DA43" s="13">
        <f t="shared" si="114"/>
        <v>69</v>
      </c>
      <c r="DB43" s="13">
        <f t="shared" si="114"/>
        <v>75</v>
      </c>
      <c r="DC43" s="13">
        <f t="shared" si="114"/>
        <v>75</v>
      </c>
      <c r="DD43" s="13">
        <f t="shared" si="114"/>
        <v>75</v>
      </c>
      <c r="DE43" s="13">
        <f t="shared" si="114"/>
        <v>72</v>
      </c>
      <c r="DF43" s="13">
        <f t="shared" si="114"/>
        <v>66</v>
      </c>
      <c r="DG43" s="13">
        <f t="shared" si="114"/>
        <v>44</v>
      </c>
      <c r="DH43" s="13">
        <f t="shared" si="114"/>
        <v>63</v>
      </c>
      <c r="DI43" s="13">
        <f t="shared" si="115"/>
        <v>72</v>
      </c>
      <c r="DJ43" s="13">
        <f t="shared" si="115"/>
        <v>66</v>
      </c>
      <c r="DK43" s="13">
        <f t="shared" si="115"/>
        <v>0</v>
      </c>
      <c r="DL43" s="13">
        <f t="shared" si="115"/>
        <v>0</v>
      </c>
      <c r="DM43" s="13">
        <f t="shared" si="115"/>
        <v>0</v>
      </c>
      <c r="DN43" s="13">
        <f t="shared" si="115"/>
        <v>0</v>
      </c>
      <c r="DO43" s="13">
        <f t="shared" si="115"/>
        <v>0</v>
      </c>
      <c r="DP43" s="13">
        <f t="shared" si="115"/>
        <v>0</v>
      </c>
      <c r="DQ43" s="13">
        <f t="shared" si="115"/>
        <v>0</v>
      </c>
      <c r="DR43" s="13">
        <f t="shared" si="115"/>
        <v>0</v>
      </c>
      <c r="DS43" s="13">
        <f t="shared" si="116"/>
        <v>0</v>
      </c>
      <c r="DT43" s="13">
        <f t="shared" si="116"/>
        <v>0</v>
      </c>
      <c r="DU43" s="13">
        <f t="shared" si="116"/>
        <v>0</v>
      </c>
      <c r="DV43" s="13">
        <f t="shared" si="116"/>
        <v>0</v>
      </c>
      <c r="DW43" s="13">
        <f t="shared" si="116"/>
        <v>0</v>
      </c>
      <c r="DX43" s="13">
        <f t="shared" si="116"/>
        <v>0</v>
      </c>
      <c r="DY43" s="13">
        <f t="shared" si="116"/>
        <v>0</v>
      </c>
      <c r="DZ43" s="13">
        <f t="shared" si="116"/>
        <v>0</v>
      </c>
      <c r="EA43" s="13">
        <f t="shared" si="116"/>
        <v>0</v>
      </c>
      <c r="EB43" s="13">
        <f t="shared" si="80"/>
        <v>879</v>
      </c>
      <c r="EC43" s="17">
        <f t="shared" si="117"/>
        <v>8</v>
      </c>
      <c r="ED43" s="17"/>
    </row>
    <row r="44" spans="1:134" s="5" customFormat="1" ht="30" x14ac:dyDescent="0.25">
      <c r="A44" s="16">
        <v>405</v>
      </c>
      <c r="B44" s="11" t="s">
        <v>329</v>
      </c>
      <c r="C44" s="74"/>
      <c r="D44" s="11" t="s">
        <v>263</v>
      </c>
      <c r="E44" s="12" t="s">
        <v>330</v>
      </c>
      <c r="F44" s="11" t="s">
        <v>102</v>
      </c>
      <c r="G44" s="16">
        <f t="shared" si="0"/>
        <v>4</v>
      </c>
      <c r="H44" s="23">
        <v>3.2870370370370367E-3</v>
      </c>
      <c r="I44" s="23"/>
      <c r="J44" s="23">
        <v>4.2129629629629626E-3</v>
      </c>
      <c r="K44" s="23">
        <v>2.6128472222222226E-3</v>
      </c>
      <c r="L44" s="23">
        <v>3.0902777777777782E-3</v>
      </c>
      <c r="M44" s="23">
        <v>2.6388888888888885E-3</v>
      </c>
      <c r="N44" s="23">
        <v>7.2858796296296291E-3</v>
      </c>
      <c r="O44" s="23">
        <v>1.7434027777777777E-3</v>
      </c>
      <c r="P44" s="23">
        <v>3.0450231481481478E-3</v>
      </c>
      <c r="Q44" s="23">
        <v>4.3055555555555555E-3</v>
      </c>
      <c r="R44" s="23">
        <v>1.6666666666666668E-3</v>
      </c>
      <c r="S44" s="23">
        <v>2.0717592592592593E-3</v>
      </c>
      <c r="T44" s="23">
        <v>2.6967592592592594E-3</v>
      </c>
      <c r="U44" s="23">
        <v>2.2126157407407411E-3</v>
      </c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13"/>
      <c r="AN44" s="13"/>
      <c r="AO44" s="13"/>
      <c r="AP44" s="13">
        <v>10</v>
      </c>
      <c r="AQ44" s="13"/>
      <c r="AR44" s="13"/>
      <c r="AS44" s="13"/>
      <c r="AT44" s="13"/>
      <c r="AU44" s="13">
        <v>80</v>
      </c>
      <c r="AV44" s="13"/>
      <c r="AW44" s="13"/>
      <c r="AX44" s="13">
        <v>60</v>
      </c>
      <c r="AY44" s="13">
        <v>30</v>
      </c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>
        <f t="shared" si="81"/>
        <v>72</v>
      </c>
      <c r="BS44" s="13">
        <f t="shared" si="82"/>
        <v>0</v>
      </c>
      <c r="BT44" s="13">
        <f t="shared" si="83"/>
        <v>56</v>
      </c>
      <c r="BU44" s="13">
        <f t="shared" si="84"/>
        <v>66</v>
      </c>
      <c r="BV44" s="13">
        <f t="shared" si="85"/>
        <v>58</v>
      </c>
      <c r="BW44" s="13">
        <f t="shared" si="86"/>
        <v>56</v>
      </c>
      <c r="BX44" s="13">
        <f t="shared" si="87"/>
        <v>58</v>
      </c>
      <c r="BY44" s="13">
        <f t="shared" si="88"/>
        <v>66</v>
      </c>
      <c r="BZ44" s="13">
        <f t="shared" si="89"/>
        <v>69</v>
      </c>
      <c r="CA44" s="13">
        <f t="shared" si="90"/>
        <v>69</v>
      </c>
      <c r="CB44" s="13">
        <f t="shared" si="91"/>
        <v>72</v>
      </c>
      <c r="CC44" s="13">
        <f t="shared" si="92"/>
        <v>72</v>
      </c>
      <c r="CD44" s="13">
        <f t="shared" si="93"/>
        <v>66</v>
      </c>
      <c r="CE44" s="13">
        <f t="shared" si="94"/>
        <v>72</v>
      </c>
      <c r="CF44" s="13">
        <f t="shared" si="95"/>
        <v>0</v>
      </c>
      <c r="CG44" s="13">
        <f t="shared" si="96"/>
        <v>0</v>
      </c>
      <c r="CH44" s="13">
        <f t="shared" si="97"/>
        <v>0</v>
      </c>
      <c r="CI44" s="13">
        <f t="shared" si="98"/>
        <v>0</v>
      </c>
      <c r="CJ44" s="13">
        <f t="shared" si="99"/>
        <v>0</v>
      </c>
      <c r="CK44" s="13">
        <f t="shared" si="100"/>
        <v>0</v>
      </c>
      <c r="CL44" s="13">
        <f t="shared" si="101"/>
        <v>0</v>
      </c>
      <c r="CM44" s="13">
        <f t="shared" si="102"/>
        <v>0</v>
      </c>
      <c r="CN44" s="13">
        <f t="shared" si="103"/>
        <v>0</v>
      </c>
      <c r="CO44" s="13">
        <f t="shared" si="104"/>
        <v>0</v>
      </c>
      <c r="CP44" s="13">
        <f t="shared" si="105"/>
        <v>0</v>
      </c>
      <c r="CQ44" s="13">
        <f t="shared" si="106"/>
        <v>0</v>
      </c>
      <c r="CR44" s="13">
        <f t="shared" si="107"/>
        <v>0</v>
      </c>
      <c r="CS44" s="13">
        <f t="shared" si="108"/>
        <v>0</v>
      </c>
      <c r="CT44" s="13">
        <f t="shared" si="109"/>
        <v>0</v>
      </c>
      <c r="CU44" s="13">
        <f t="shared" si="110"/>
        <v>0</v>
      </c>
      <c r="CV44" s="13">
        <f t="shared" si="111"/>
        <v>0</v>
      </c>
      <c r="CW44" s="13">
        <f t="shared" si="112"/>
        <v>72</v>
      </c>
      <c r="CX44" s="13">
        <f t="shared" si="113"/>
        <v>0</v>
      </c>
      <c r="CY44" s="13">
        <f t="shared" ref="CY44:CY57" si="118">BT44-AN44</f>
        <v>56</v>
      </c>
      <c r="CZ44" s="13">
        <f t="shared" ref="CZ44:CZ57" si="119">BU44-AO44</f>
        <v>66</v>
      </c>
      <c r="DA44" s="13">
        <f t="shared" ref="DA44:DA57" si="120">BV44-AP44</f>
        <v>48</v>
      </c>
      <c r="DB44" s="13">
        <f t="shared" ref="DB44:DB57" si="121">BW44-AQ44</f>
        <v>56</v>
      </c>
      <c r="DC44" s="13">
        <f t="shared" ref="DC44:DC57" si="122">BX44-AR44</f>
        <v>58</v>
      </c>
      <c r="DD44" s="13">
        <f t="shared" ref="DD44:DD57" si="123">BY44-AS44</f>
        <v>66</v>
      </c>
      <c r="DE44" s="13">
        <f t="shared" ref="DE44:DE57" si="124">BZ44-AT44</f>
        <v>69</v>
      </c>
      <c r="DF44" s="13">
        <v>0</v>
      </c>
      <c r="DG44" s="13">
        <f t="shared" ref="DG44:DG57" si="125">CB44-AV44</f>
        <v>72</v>
      </c>
      <c r="DH44" s="13">
        <f t="shared" ref="DH44:DH57" si="126">CC44-AW44</f>
        <v>72</v>
      </c>
      <c r="DI44" s="13">
        <f t="shared" ref="DI44:DI57" si="127">CD44-AX44</f>
        <v>6</v>
      </c>
      <c r="DJ44" s="13">
        <f t="shared" ref="DJ44:DJ57" si="128">CE44-AY44</f>
        <v>42</v>
      </c>
      <c r="DK44" s="13">
        <f t="shared" ref="DK44:DK57" si="129">CF44-AZ44</f>
        <v>0</v>
      </c>
      <c r="DL44" s="13">
        <f t="shared" ref="DL44:DL57" si="130">CG44-BA44</f>
        <v>0</v>
      </c>
      <c r="DM44" s="13">
        <f t="shared" ref="DM44:DM57" si="131">CH44-BB44</f>
        <v>0</v>
      </c>
      <c r="DN44" s="13">
        <f t="shared" ref="DN44:DN57" si="132">CI44-BC44</f>
        <v>0</v>
      </c>
      <c r="DO44" s="13">
        <f t="shared" ref="DO44:DO57" si="133">CJ44-BD44</f>
        <v>0</v>
      </c>
      <c r="DP44" s="13">
        <f t="shared" ref="DP44:DP57" si="134">CK44-BE44</f>
        <v>0</v>
      </c>
      <c r="DQ44" s="13">
        <f t="shared" ref="DQ44:DQ57" si="135">CL44-BF44</f>
        <v>0</v>
      </c>
      <c r="DR44" s="13">
        <f t="shared" ref="DR44:DR57" si="136">CM44-BG44</f>
        <v>0</v>
      </c>
      <c r="DS44" s="13">
        <f t="shared" ref="DS44:DS57" si="137">CN44-BH44</f>
        <v>0</v>
      </c>
      <c r="DT44" s="13">
        <f t="shared" ref="DT44:DT57" si="138">CO44-BI44</f>
        <v>0</v>
      </c>
      <c r="DU44" s="13">
        <f t="shared" ref="DU44:DU57" si="139">CP44-BJ44</f>
        <v>0</v>
      </c>
      <c r="DV44" s="13">
        <f t="shared" ref="DV44:DV57" si="140">CQ44-BK44</f>
        <v>0</v>
      </c>
      <c r="DW44" s="13">
        <f t="shared" ref="DW44:DW57" si="141">CR44-BL44</f>
        <v>0</v>
      </c>
      <c r="DX44" s="13">
        <f t="shared" ref="DX44:DX57" si="142">CS44-BM44</f>
        <v>0</v>
      </c>
      <c r="DY44" s="13">
        <f t="shared" ref="DY44:DY57" si="143">CT44-BN44</f>
        <v>0</v>
      </c>
      <c r="DZ44" s="13">
        <f t="shared" ref="DZ44:DZ57" si="144">CU44-BO44</f>
        <v>0</v>
      </c>
      <c r="EA44" s="13">
        <f t="shared" ref="EA44:EA57" si="145">CV44-BP44</f>
        <v>0</v>
      </c>
      <c r="EB44" s="13">
        <f t="shared" si="80"/>
        <v>683</v>
      </c>
      <c r="EC44" s="17">
        <f t="shared" si="117"/>
        <v>14</v>
      </c>
      <c r="ED44" s="17"/>
    </row>
    <row r="45" spans="1:134" s="5" customFormat="1" ht="30" x14ac:dyDescent="0.25">
      <c r="A45" s="16">
        <v>406</v>
      </c>
      <c r="B45" s="11" t="s">
        <v>331</v>
      </c>
      <c r="C45" s="74"/>
      <c r="D45" s="11" t="s">
        <v>332</v>
      </c>
      <c r="E45" s="12" t="s">
        <v>256</v>
      </c>
      <c r="F45" s="11" t="s">
        <v>102</v>
      </c>
      <c r="G45" s="16">
        <f t="shared" si="0"/>
        <v>4</v>
      </c>
      <c r="H45" s="23" t="s">
        <v>116</v>
      </c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 t="s">
        <v>151</v>
      </c>
      <c r="BR45" s="13">
        <f t="shared" si="81"/>
        <v>20</v>
      </c>
      <c r="BS45" s="13">
        <f t="shared" si="82"/>
        <v>0</v>
      </c>
      <c r="BT45" s="13">
        <f t="shared" si="83"/>
        <v>0</v>
      </c>
      <c r="BU45" s="13">
        <f t="shared" si="84"/>
        <v>0</v>
      </c>
      <c r="BV45" s="13">
        <f t="shared" si="85"/>
        <v>0</v>
      </c>
      <c r="BW45" s="13">
        <f t="shared" si="86"/>
        <v>0</v>
      </c>
      <c r="BX45" s="13">
        <f t="shared" si="87"/>
        <v>0</v>
      </c>
      <c r="BY45" s="13">
        <f t="shared" si="88"/>
        <v>0</v>
      </c>
      <c r="BZ45" s="13">
        <f t="shared" si="89"/>
        <v>0</v>
      </c>
      <c r="CA45" s="13">
        <f t="shared" si="90"/>
        <v>0</v>
      </c>
      <c r="CB45" s="13">
        <f t="shared" si="91"/>
        <v>0</v>
      </c>
      <c r="CC45" s="13">
        <f t="shared" si="92"/>
        <v>0</v>
      </c>
      <c r="CD45" s="13">
        <f t="shared" si="93"/>
        <v>0</v>
      </c>
      <c r="CE45" s="13">
        <f t="shared" si="94"/>
        <v>0</v>
      </c>
      <c r="CF45" s="13">
        <f t="shared" si="95"/>
        <v>0</v>
      </c>
      <c r="CG45" s="13">
        <f t="shared" si="96"/>
        <v>0</v>
      </c>
      <c r="CH45" s="13">
        <f t="shared" si="97"/>
        <v>0</v>
      </c>
      <c r="CI45" s="13">
        <f t="shared" si="98"/>
        <v>0</v>
      </c>
      <c r="CJ45" s="13">
        <f t="shared" si="99"/>
        <v>0</v>
      </c>
      <c r="CK45" s="13">
        <f t="shared" si="100"/>
        <v>0</v>
      </c>
      <c r="CL45" s="13">
        <f t="shared" si="101"/>
        <v>0</v>
      </c>
      <c r="CM45" s="13">
        <f t="shared" si="102"/>
        <v>0</v>
      </c>
      <c r="CN45" s="13">
        <f t="shared" si="103"/>
        <v>0</v>
      </c>
      <c r="CO45" s="13">
        <f t="shared" si="104"/>
        <v>0</v>
      </c>
      <c r="CP45" s="13">
        <f t="shared" si="105"/>
        <v>0</v>
      </c>
      <c r="CQ45" s="13">
        <f t="shared" si="106"/>
        <v>0</v>
      </c>
      <c r="CR45" s="13">
        <f t="shared" si="107"/>
        <v>0</v>
      </c>
      <c r="CS45" s="13">
        <f t="shared" si="108"/>
        <v>0</v>
      </c>
      <c r="CT45" s="13">
        <f t="shared" si="109"/>
        <v>0</v>
      </c>
      <c r="CU45" s="13">
        <f t="shared" si="110"/>
        <v>0</v>
      </c>
      <c r="CV45" s="13">
        <f t="shared" si="111"/>
        <v>0</v>
      </c>
      <c r="CW45" s="13">
        <f t="shared" si="112"/>
        <v>20</v>
      </c>
      <c r="CX45" s="13">
        <f t="shared" si="113"/>
        <v>0</v>
      </c>
      <c r="CY45" s="13">
        <f t="shared" si="118"/>
        <v>0</v>
      </c>
      <c r="CZ45" s="13">
        <f t="shared" si="119"/>
        <v>0</v>
      </c>
      <c r="DA45" s="13">
        <f t="shared" si="120"/>
        <v>0</v>
      </c>
      <c r="DB45" s="13">
        <f t="shared" si="121"/>
        <v>0</v>
      </c>
      <c r="DC45" s="13">
        <f t="shared" si="122"/>
        <v>0</v>
      </c>
      <c r="DD45" s="13">
        <f t="shared" si="123"/>
        <v>0</v>
      </c>
      <c r="DE45" s="13">
        <f t="shared" si="124"/>
        <v>0</v>
      </c>
      <c r="DF45" s="13">
        <f t="shared" ref="DF44:DF57" si="146">CA45-AU45</f>
        <v>0</v>
      </c>
      <c r="DG45" s="13">
        <f t="shared" si="125"/>
        <v>0</v>
      </c>
      <c r="DH45" s="13">
        <f t="shared" si="126"/>
        <v>0</v>
      </c>
      <c r="DI45" s="13">
        <f t="shared" si="127"/>
        <v>0</v>
      </c>
      <c r="DJ45" s="13">
        <f t="shared" si="128"/>
        <v>0</v>
      </c>
      <c r="DK45" s="13">
        <f t="shared" si="129"/>
        <v>0</v>
      </c>
      <c r="DL45" s="13">
        <f t="shared" si="130"/>
        <v>0</v>
      </c>
      <c r="DM45" s="13">
        <f t="shared" si="131"/>
        <v>0</v>
      </c>
      <c r="DN45" s="13">
        <f t="shared" si="132"/>
        <v>0</v>
      </c>
      <c r="DO45" s="13">
        <f t="shared" si="133"/>
        <v>0</v>
      </c>
      <c r="DP45" s="13">
        <f t="shared" si="134"/>
        <v>0</v>
      </c>
      <c r="DQ45" s="13">
        <f t="shared" si="135"/>
        <v>0</v>
      </c>
      <c r="DR45" s="13">
        <f t="shared" si="136"/>
        <v>0</v>
      </c>
      <c r="DS45" s="13">
        <f t="shared" si="137"/>
        <v>0</v>
      </c>
      <c r="DT45" s="13">
        <f t="shared" si="138"/>
        <v>0</v>
      </c>
      <c r="DU45" s="13">
        <f t="shared" si="139"/>
        <v>0</v>
      </c>
      <c r="DV45" s="13">
        <f t="shared" si="140"/>
        <v>0</v>
      </c>
      <c r="DW45" s="13">
        <f t="shared" si="141"/>
        <v>0</v>
      </c>
      <c r="DX45" s="13">
        <f t="shared" si="142"/>
        <v>0</v>
      </c>
      <c r="DY45" s="13">
        <f t="shared" si="143"/>
        <v>0</v>
      </c>
      <c r="DZ45" s="13">
        <f t="shared" si="144"/>
        <v>0</v>
      </c>
      <c r="EA45" s="13">
        <f t="shared" si="145"/>
        <v>0</v>
      </c>
      <c r="EB45" s="13" t="str">
        <f t="shared" si="80"/>
        <v>СХОД</v>
      </c>
      <c r="EC45" s="17" t="str">
        <f t="shared" si="117"/>
        <v>-</v>
      </c>
      <c r="ED45" s="17"/>
    </row>
    <row r="46" spans="1:134" s="5" customFormat="1" ht="30" x14ac:dyDescent="0.25">
      <c r="A46" s="16">
        <v>407</v>
      </c>
      <c r="B46" s="11" t="s">
        <v>333</v>
      </c>
      <c r="C46" s="74"/>
      <c r="D46" s="11" t="s">
        <v>263</v>
      </c>
      <c r="E46" s="12" t="s">
        <v>334</v>
      </c>
      <c r="F46" s="11" t="s">
        <v>102</v>
      </c>
      <c r="G46" s="16">
        <f t="shared" si="0"/>
        <v>4</v>
      </c>
      <c r="H46" s="23">
        <v>4.0509259259259257E-3</v>
      </c>
      <c r="I46" s="23"/>
      <c r="J46" s="23">
        <v>3.6574074074074074E-3</v>
      </c>
      <c r="K46" s="23">
        <v>4.2097222222222223E-3</v>
      </c>
      <c r="L46" s="23">
        <v>2.9282407407407412E-3</v>
      </c>
      <c r="M46" s="23">
        <v>2.2916666666666667E-3</v>
      </c>
      <c r="N46" s="23">
        <v>3.0649305555555556E-3</v>
      </c>
      <c r="O46" s="23">
        <v>2.3633101851851849E-3</v>
      </c>
      <c r="P46" s="23" t="s">
        <v>116</v>
      </c>
      <c r="Q46" s="23" t="s">
        <v>116</v>
      </c>
      <c r="R46" s="23">
        <v>1.7611111111111111E-3</v>
      </c>
      <c r="S46" s="23" t="s">
        <v>116</v>
      </c>
      <c r="T46" s="23">
        <v>3.0671296296296297E-3</v>
      </c>
      <c r="U46" s="23" t="s">
        <v>116</v>
      </c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13"/>
      <c r="AN46" s="13"/>
      <c r="AO46" s="13"/>
      <c r="AP46" s="13"/>
      <c r="AQ46" s="13">
        <v>10</v>
      </c>
      <c r="AR46" s="13"/>
      <c r="AS46" s="13">
        <v>10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>
        <f t="shared" si="81"/>
        <v>54</v>
      </c>
      <c r="BS46" s="13">
        <f t="shared" si="82"/>
        <v>0</v>
      </c>
      <c r="BT46" s="13">
        <f t="shared" si="83"/>
        <v>63</v>
      </c>
      <c r="BU46" s="13">
        <f t="shared" si="84"/>
        <v>58</v>
      </c>
      <c r="BV46" s="13">
        <f t="shared" si="85"/>
        <v>66</v>
      </c>
      <c r="BW46" s="13">
        <f t="shared" si="86"/>
        <v>63</v>
      </c>
      <c r="BX46" s="13">
        <f t="shared" si="87"/>
        <v>66</v>
      </c>
      <c r="BY46" s="13">
        <f t="shared" si="88"/>
        <v>56</v>
      </c>
      <c r="BZ46" s="13">
        <f t="shared" si="89"/>
        <v>20</v>
      </c>
      <c r="CA46" s="13">
        <f t="shared" si="90"/>
        <v>20</v>
      </c>
      <c r="CB46" s="13">
        <f t="shared" si="91"/>
        <v>69</v>
      </c>
      <c r="CC46" s="13">
        <f t="shared" si="92"/>
        <v>20</v>
      </c>
      <c r="CD46" s="13">
        <f t="shared" si="93"/>
        <v>60</v>
      </c>
      <c r="CE46" s="13">
        <f t="shared" si="94"/>
        <v>20</v>
      </c>
      <c r="CF46" s="13">
        <f t="shared" si="95"/>
        <v>0</v>
      </c>
      <c r="CG46" s="13">
        <f t="shared" si="96"/>
        <v>0</v>
      </c>
      <c r="CH46" s="13">
        <f t="shared" si="97"/>
        <v>0</v>
      </c>
      <c r="CI46" s="13">
        <f t="shared" si="98"/>
        <v>0</v>
      </c>
      <c r="CJ46" s="13">
        <f t="shared" si="99"/>
        <v>0</v>
      </c>
      <c r="CK46" s="13">
        <f t="shared" si="100"/>
        <v>0</v>
      </c>
      <c r="CL46" s="13">
        <f t="shared" si="101"/>
        <v>0</v>
      </c>
      <c r="CM46" s="13">
        <f t="shared" si="102"/>
        <v>0</v>
      </c>
      <c r="CN46" s="13">
        <f t="shared" si="103"/>
        <v>0</v>
      </c>
      <c r="CO46" s="13">
        <f t="shared" si="104"/>
        <v>0</v>
      </c>
      <c r="CP46" s="13">
        <f t="shared" si="105"/>
        <v>0</v>
      </c>
      <c r="CQ46" s="13">
        <f t="shared" si="106"/>
        <v>0</v>
      </c>
      <c r="CR46" s="13">
        <f t="shared" si="107"/>
        <v>0</v>
      </c>
      <c r="CS46" s="13">
        <f t="shared" si="108"/>
        <v>0</v>
      </c>
      <c r="CT46" s="13">
        <f t="shared" si="109"/>
        <v>0</v>
      </c>
      <c r="CU46" s="13">
        <f t="shared" si="110"/>
        <v>0</v>
      </c>
      <c r="CV46" s="13">
        <f t="shared" si="111"/>
        <v>0</v>
      </c>
      <c r="CW46" s="13">
        <f t="shared" si="112"/>
        <v>54</v>
      </c>
      <c r="CX46" s="13">
        <f t="shared" si="113"/>
        <v>0</v>
      </c>
      <c r="CY46" s="13">
        <f t="shared" si="118"/>
        <v>63</v>
      </c>
      <c r="CZ46" s="13">
        <f t="shared" si="119"/>
        <v>58</v>
      </c>
      <c r="DA46" s="13">
        <f t="shared" si="120"/>
        <v>66</v>
      </c>
      <c r="DB46" s="13">
        <f t="shared" si="121"/>
        <v>53</v>
      </c>
      <c r="DC46" s="13">
        <f t="shared" si="122"/>
        <v>66</v>
      </c>
      <c r="DD46" s="13">
        <f t="shared" si="123"/>
        <v>46</v>
      </c>
      <c r="DE46" s="13">
        <f t="shared" si="124"/>
        <v>20</v>
      </c>
      <c r="DF46" s="13">
        <f t="shared" si="146"/>
        <v>20</v>
      </c>
      <c r="DG46" s="13">
        <f t="shared" si="125"/>
        <v>69</v>
      </c>
      <c r="DH46" s="13">
        <f t="shared" si="126"/>
        <v>20</v>
      </c>
      <c r="DI46" s="13">
        <f t="shared" si="127"/>
        <v>60</v>
      </c>
      <c r="DJ46" s="13">
        <f t="shared" si="128"/>
        <v>20</v>
      </c>
      <c r="DK46" s="13">
        <f t="shared" si="129"/>
        <v>0</v>
      </c>
      <c r="DL46" s="13">
        <f t="shared" si="130"/>
        <v>0</v>
      </c>
      <c r="DM46" s="13">
        <f t="shared" si="131"/>
        <v>0</v>
      </c>
      <c r="DN46" s="13">
        <f t="shared" si="132"/>
        <v>0</v>
      </c>
      <c r="DO46" s="13">
        <f t="shared" si="133"/>
        <v>0</v>
      </c>
      <c r="DP46" s="13">
        <f t="shared" si="134"/>
        <v>0</v>
      </c>
      <c r="DQ46" s="13">
        <f t="shared" si="135"/>
        <v>0</v>
      </c>
      <c r="DR46" s="13">
        <f t="shared" si="136"/>
        <v>0</v>
      </c>
      <c r="DS46" s="13">
        <f t="shared" si="137"/>
        <v>0</v>
      </c>
      <c r="DT46" s="13">
        <f t="shared" si="138"/>
        <v>0</v>
      </c>
      <c r="DU46" s="13">
        <f t="shared" si="139"/>
        <v>0</v>
      </c>
      <c r="DV46" s="13">
        <f t="shared" si="140"/>
        <v>0</v>
      </c>
      <c r="DW46" s="13">
        <f t="shared" si="141"/>
        <v>0</v>
      </c>
      <c r="DX46" s="13">
        <f t="shared" si="142"/>
        <v>0</v>
      </c>
      <c r="DY46" s="13">
        <f t="shared" si="143"/>
        <v>0</v>
      </c>
      <c r="DZ46" s="13">
        <f t="shared" si="144"/>
        <v>0</v>
      </c>
      <c r="EA46" s="13">
        <f t="shared" si="145"/>
        <v>0</v>
      </c>
      <c r="EB46" s="13">
        <f t="shared" si="80"/>
        <v>615</v>
      </c>
      <c r="EC46" s="17">
        <f t="shared" si="117"/>
        <v>15</v>
      </c>
      <c r="ED46" s="17"/>
    </row>
    <row r="47" spans="1:134" s="5" customFormat="1" ht="30" x14ac:dyDescent="0.25">
      <c r="A47" s="16">
        <v>408</v>
      </c>
      <c r="B47" s="11" t="s">
        <v>335</v>
      </c>
      <c r="C47" s="74"/>
      <c r="D47" s="11" t="s">
        <v>337</v>
      </c>
      <c r="E47" s="12" t="s">
        <v>323</v>
      </c>
      <c r="F47" s="11" t="s">
        <v>102</v>
      </c>
      <c r="G47" s="16">
        <f t="shared" si="0"/>
        <v>4</v>
      </c>
      <c r="H47" s="23">
        <v>3.2523148148148151E-3</v>
      </c>
      <c r="I47" s="23"/>
      <c r="J47" s="23">
        <v>2.7662037037037034E-3</v>
      </c>
      <c r="K47" s="23">
        <v>2.0564814814814816E-3</v>
      </c>
      <c r="L47" s="23">
        <v>1.9675925925925928E-3</v>
      </c>
      <c r="M47" s="23">
        <v>1.4699074074074074E-3</v>
      </c>
      <c r="N47" s="23">
        <v>2.0210648148148149E-3</v>
      </c>
      <c r="O47" s="23">
        <v>7.8611111111111113E-4</v>
      </c>
      <c r="P47" s="23">
        <v>1.1284722222222223E-3</v>
      </c>
      <c r="Q47" s="23">
        <v>2.9629629629629628E-3</v>
      </c>
      <c r="R47" s="23">
        <v>1.0300925925925926E-3</v>
      </c>
      <c r="S47" s="23">
        <v>1.3194444444444443E-3</v>
      </c>
      <c r="T47" s="23">
        <v>1.8865740740740742E-3</v>
      </c>
      <c r="U47" s="23">
        <v>1.5252314814814816E-3</v>
      </c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13"/>
      <c r="AN47" s="13"/>
      <c r="AO47" s="13"/>
      <c r="AP47" s="13"/>
      <c r="AQ47" s="13"/>
      <c r="AR47" s="13"/>
      <c r="AS47" s="13"/>
      <c r="AT47" s="13"/>
      <c r="AU47" s="13">
        <v>30</v>
      </c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>
        <f t="shared" si="81"/>
        <v>75</v>
      </c>
      <c r="BS47" s="13">
        <f t="shared" si="82"/>
        <v>0</v>
      </c>
      <c r="BT47" s="13">
        <f t="shared" si="83"/>
        <v>87</v>
      </c>
      <c r="BU47" s="13">
        <f t="shared" si="84"/>
        <v>78</v>
      </c>
      <c r="BV47" s="13">
        <f t="shared" si="85"/>
        <v>87</v>
      </c>
      <c r="BW47" s="13">
        <f t="shared" si="86"/>
        <v>100</v>
      </c>
      <c r="BX47" s="13">
        <f t="shared" si="87"/>
        <v>78</v>
      </c>
      <c r="BY47" s="13">
        <f t="shared" si="88"/>
        <v>100</v>
      </c>
      <c r="BZ47" s="13">
        <f t="shared" si="89"/>
        <v>100</v>
      </c>
      <c r="CA47" s="13">
        <f t="shared" si="90"/>
        <v>100</v>
      </c>
      <c r="CB47" s="13">
        <f t="shared" si="91"/>
        <v>95</v>
      </c>
      <c r="CC47" s="13">
        <f t="shared" si="92"/>
        <v>100</v>
      </c>
      <c r="CD47" s="13">
        <f t="shared" si="93"/>
        <v>100</v>
      </c>
      <c r="CE47" s="13">
        <f t="shared" si="94"/>
        <v>100</v>
      </c>
      <c r="CF47" s="13">
        <f t="shared" si="95"/>
        <v>0</v>
      </c>
      <c r="CG47" s="13">
        <f t="shared" si="96"/>
        <v>0</v>
      </c>
      <c r="CH47" s="13">
        <f t="shared" si="97"/>
        <v>0</v>
      </c>
      <c r="CI47" s="13">
        <f t="shared" si="98"/>
        <v>0</v>
      </c>
      <c r="CJ47" s="13">
        <f t="shared" si="99"/>
        <v>0</v>
      </c>
      <c r="CK47" s="13">
        <f t="shared" si="100"/>
        <v>0</v>
      </c>
      <c r="CL47" s="13">
        <f t="shared" si="101"/>
        <v>0</v>
      </c>
      <c r="CM47" s="13">
        <f t="shared" si="102"/>
        <v>0</v>
      </c>
      <c r="CN47" s="13">
        <f t="shared" si="103"/>
        <v>0</v>
      </c>
      <c r="CO47" s="13">
        <f t="shared" si="104"/>
        <v>0</v>
      </c>
      <c r="CP47" s="13">
        <f t="shared" si="105"/>
        <v>0</v>
      </c>
      <c r="CQ47" s="13">
        <f t="shared" si="106"/>
        <v>0</v>
      </c>
      <c r="CR47" s="13">
        <f t="shared" si="107"/>
        <v>0</v>
      </c>
      <c r="CS47" s="13">
        <f t="shared" si="108"/>
        <v>0</v>
      </c>
      <c r="CT47" s="13">
        <f t="shared" si="109"/>
        <v>0</v>
      </c>
      <c r="CU47" s="13">
        <f t="shared" si="110"/>
        <v>0</v>
      </c>
      <c r="CV47" s="13">
        <f t="shared" si="111"/>
        <v>0</v>
      </c>
      <c r="CW47" s="13">
        <f t="shared" si="112"/>
        <v>75</v>
      </c>
      <c r="CX47" s="13">
        <f t="shared" si="113"/>
        <v>0</v>
      </c>
      <c r="CY47" s="13">
        <f t="shared" si="118"/>
        <v>87</v>
      </c>
      <c r="CZ47" s="13">
        <f t="shared" si="119"/>
        <v>78</v>
      </c>
      <c r="DA47" s="13">
        <f t="shared" si="120"/>
        <v>87</v>
      </c>
      <c r="DB47" s="13">
        <f t="shared" si="121"/>
        <v>100</v>
      </c>
      <c r="DC47" s="13">
        <f t="shared" si="122"/>
        <v>78</v>
      </c>
      <c r="DD47" s="13">
        <f t="shared" si="123"/>
        <v>100</v>
      </c>
      <c r="DE47" s="13">
        <f t="shared" si="124"/>
        <v>100</v>
      </c>
      <c r="DF47" s="13">
        <f t="shared" si="146"/>
        <v>70</v>
      </c>
      <c r="DG47" s="13">
        <f t="shared" si="125"/>
        <v>95</v>
      </c>
      <c r="DH47" s="13">
        <f t="shared" si="126"/>
        <v>100</v>
      </c>
      <c r="DI47" s="13">
        <f t="shared" si="127"/>
        <v>100</v>
      </c>
      <c r="DJ47" s="13">
        <f t="shared" si="128"/>
        <v>100</v>
      </c>
      <c r="DK47" s="13">
        <f t="shared" si="129"/>
        <v>0</v>
      </c>
      <c r="DL47" s="13">
        <f t="shared" si="130"/>
        <v>0</v>
      </c>
      <c r="DM47" s="13">
        <f t="shared" si="131"/>
        <v>0</v>
      </c>
      <c r="DN47" s="13">
        <f t="shared" si="132"/>
        <v>0</v>
      </c>
      <c r="DO47" s="13">
        <f t="shared" si="133"/>
        <v>0</v>
      </c>
      <c r="DP47" s="13">
        <f t="shared" si="134"/>
        <v>0</v>
      </c>
      <c r="DQ47" s="13">
        <f t="shared" si="135"/>
        <v>0</v>
      </c>
      <c r="DR47" s="13">
        <f t="shared" si="136"/>
        <v>0</v>
      </c>
      <c r="DS47" s="13">
        <f t="shared" si="137"/>
        <v>0</v>
      </c>
      <c r="DT47" s="13">
        <f t="shared" si="138"/>
        <v>0</v>
      </c>
      <c r="DU47" s="13">
        <f t="shared" si="139"/>
        <v>0</v>
      </c>
      <c r="DV47" s="13">
        <f t="shared" si="140"/>
        <v>0</v>
      </c>
      <c r="DW47" s="13">
        <f t="shared" si="141"/>
        <v>0</v>
      </c>
      <c r="DX47" s="13">
        <f t="shared" si="142"/>
        <v>0</v>
      </c>
      <c r="DY47" s="13">
        <f t="shared" si="143"/>
        <v>0</v>
      </c>
      <c r="DZ47" s="13">
        <f t="shared" si="144"/>
        <v>0</v>
      </c>
      <c r="EA47" s="13">
        <f t="shared" si="145"/>
        <v>0</v>
      </c>
      <c r="EB47" s="13">
        <f t="shared" si="80"/>
        <v>1170</v>
      </c>
      <c r="EC47" s="17">
        <f t="shared" si="117"/>
        <v>2</v>
      </c>
      <c r="ED47" s="17"/>
    </row>
    <row r="48" spans="1:134" s="5" customFormat="1" ht="30" x14ac:dyDescent="0.25">
      <c r="A48" s="16">
        <v>409</v>
      </c>
      <c r="B48" s="11" t="s">
        <v>336</v>
      </c>
      <c r="C48" s="74" t="s">
        <v>338</v>
      </c>
      <c r="D48" s="11" t="s">
        <v>339</v>
      </c>
      <c r="E48" s="12" t="s">
        <v>340</v>
      </c>
      <c r="F48" s="11" t="s">
        <v>102</v>
      </c>
      <c r="G48" s="16">
        <f t="shared" si="0"/>
        <v>4</v>
      </c>
      <c r="H48" s="23">
        <v>2.5462962962962961E-3</v>
      </c>
      <c r="I48" s="23"/>
      <c r="J48" s="23">
        <v>2.7777777777777779E-3</v>
      </c>
      <c r="K48" s="23" t="s">
        <v>116</v>
      </c>
      <c r="L48" s="23">
        <v>2.3148148148148151E-3</v>
      </c>
      <c r="M48" s="23"/>
      <c r="N48" s="23">
        <v>1.3625E-3</v>
      </c>
      <c r="O48" s="23"/>
      <c r="P48" s="23"/>
      <c r="Q48" s="23">
        <v>3.2060185185185191E-3</v>
      </c>
      <c r="R48" s="23">
        <v>1.2731481481481483E-3</v>
      </c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13"/>
      <c r="AN48" s="13"/>
      <c r="AO48" s="13"/>
      <c r="AP48" s="13"/>
      <c r="AQ48" s="13"/>
      <c r="AR48" s="13"/>
      <c r="AS48" s="13"/>
      <c r="AT48" s="13"/>
      <c r="AU48" s="13">
        <v>50</v>
      </c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>
        <f t="shared" si="81"/>
        <v>95</v>
      </c>
      <c r="BS48" s="13">
        <f t="shared" si="82"/>
        <v>0</v>
      </c>
      <c r="BT48" s="13">
        <f t="shared" si="83"/>
        <v>84</v>
      </c>
      <c r="BU48" s="13">
        <f t="shared" si="84"/>
        <v>20</v>
      </c>
      <c r="BV48" s="13">
        <f t="shared" si="85"/>
        <v>81</v>
      </c>
      <c r="BW48" s="13">
        <f t="shared" si="86"/>
        <v>0</v>
      </c>
      <c r="BX48" s="13">
        <f t="shared" si="87"/>
        <v>100</v>
      </c>
      <c r="BY48" s="13">
        <f t="shared" si="88"/>
        <v>0</v>
      </c>
      <c r="BZ48" s="13">
        <f t="shared" si="89"/>
        <v>0</v>
      </c>
      <c r="CA48" s="13">
        <f t="shared" si="90"/>
        <v>87</v>
      </c>
      <c r="CB48" s="13">
        <f t="shared" si="91"/>
        <v>87</v>
      </c>
      <c r="CC48" s="13">
        <f t="shared" si="92"/>
        <v>0</v>
      </c>
      <c r="CD48" s="13">
        <f t="shared" si="93"/>
        <v>0</v>
      </c>
      <c r="CE48" s="13">
        <f t="shared" si="94"/>
        <v>0</v>
      </c>
      <c r="CF48" s="13">
        <f t="shared" si="95"/>
        <v>0</v>
      </c>
      <c r="CG48" s="13">
        <f t="shared" si="96"/>
        <v>0</v>
      </c>
      <c r="CH48" s="13">
        <f t="shared" si="97"/>
        <v>0</v>
      </c>
      <c r="CI48" s="13">
        <f t="shared" si="98"/>
        <v>0</v>
      </c>
      <c r="CJ48" s="13">
        <f t="shared" si="99"/>
        <v>0</v>
      </c>
      <c r="CK48" s="13">
        <f t="shared" si="100"/>
        <v>0</v>
      </c>
      <c r="CL48" s="13">
        <f t="shared" si="101"/>
        <v>0</v>
      </c>
      <c r="CM48" s="13">
        <f t="shared" si="102"/>
        <v>0</v>
      </c>
      <c r="CN48" s="13">
        <f t="shared" si="103"/>
        <v>0</v>
      </c>
      <c r="CO48" s="13">
        <f t="shared" si="104"/>
        <v>0</v>
      </c>
      <c r="CP48" s="13">
        <f t="shared" si="105"/>
        <v>0</v>
      </c>
      <c r="CQ48" s="13">
        <f t="shared" si="106"/>
        <v>0</v>
      </c>
      <c r="CR48" s="13">
        <f t="shared" si="107"/>
        <v>0</v>
      </c>
      <c r="CS48" s="13">
        <f t="shared" si="108"/>
        <v>0</v>
      </c>
      <c r="CT48" s="13">
        <f t="shared" si="109"/>
        <v>0</v>
      </c>
      <c r="CU48" s="13">
        <f t="shared" si="110"/>
        <v>0</v>
      </c>
      <c r="CV48" s="13">
        <f t="shared" si="111"/>
        <v>0</v>
      </c>
      <c r="CW48" s="13">
        <f t="shared" si="112"/>
        <v>95</v>
      </c>
      <c r="CX48" s="13">
        <f t="shared" si="113"/>
        <v>0</v>
      </c>
      <c r="CY48" s="13">
        <f t="shared" si="118"/>
        <v>84</v>
      </c>
      <c r="CZ48" s="13">
        <f t="shared" si="119"/>
        <v>20</v>
      </c>
      <c r="DA48" s="13">
        <f t="shared" si="120"/>
        <v>81</v>
      </c>
      <c r="DB48" s="13">
        <f t="shared" si="121"/>
        <v>0</v>
      </c>
      <c r="DC48" s="13">
        <f t="shared" si="122"/>
        <v>100</v>
      </c>
      <c r="DD48" s="13">
        <f t="shared" si="123"/>
        <v>0</v>
      </c>
      <c r="DE48" s="13">
        <f t="shared" si="124"/>
        <v>0</v>
      </c>
      <c r="DF48" s="13">
        <f t="shared" si="146"/>
        <v>37</v>
      </c>
      <c r="DG48" s="13">
        <f t="shared" si="125"/>
        <v>87</v>
      </c>
      <c r="DH48" s="13">
        <f t="shared" si="126"/>
        <v>0</v>
      </c>
      <c r="DI48" s="13">
        <f t="shared" si="127"/>
        <v>0</v>
      </c>
      <c r="DJ48" s="13">
        <f t="shared" si="128"/>
        <v>0</v>
      </c>
      <c r="DK48" s="13">
        <f t="shared" si="129"/>
        <v>0</v>
      </c>
      <c r="DL48" s="13">
        <f t="shared" si="130"/>
        <v>0</v>
      </c>
      <c r="DM48" s="13">
        <f t="shared" si="131"/>
        <v>0</v>
      </c>
      <c r="DN48" s="13">
        <f t="shared" si="132"/>
        <v>0</v>
      </c>
      <c r="DO48" s="13">
        <f t="shared" si="133"/>
        <v>0</v>
      </c>
      <c r="DP48" s="13">
        <f t="shared" si="134"/>
        <v>0</v>
      </c>
      <c r="DQ48" s="13">
        <f t="shared" si="135"/>
        <v>0</v>
      </c>
      <c r="DR48" s="13">
        <f t="shared" si="136"/>
        <v>0</v>
      </c>
      <c r="DS48" s="13">
        <f t="shared" si="137"/>
        <v>0</v>
      </c>
      <c r="DT48" s="13">
        <f t="shared" si="138"/>
        <v>0</v>
      </c>
      <c r="DU48" s="13">
        <f t="shared" si="139"/>
        <v>0</v>
      </c>
      <c r="DV48" s="13">
        <f t="shared" si="140"/>
        <v>0</v>
      </c>
      <c r="DW48" s="13">
        <f t="shared" si="141"/>
        <v>0</v>
      </c>
      <c r="DX48" s="13">
        <f t="shared" si="142"/>
        <v>0</v>
      </c>
      <c r="DY48" s="13">
        <f t="shared" si="143"/>
        <v>0</v>
      </c>
      <c r="DZ48" s="13">
        <f t="shared" si="144"/>
        <v>0</v>
      </c>
      <c r="EA48" s="13">
        <f t="shared" si="145"/>
        <v>0</v>
      </c>
      <c r="EB48" s="13">
        <f t="shared" si="80"/>
        <v>504</v>
      </c>
      <c r="EC48" s="17">
        <f t="shared" si="117"/>
        <v>16</v>
      </c>
      <c r="ED48" s="17"/>
    </row>
    <row r="49" spans="1:134" s="5" customFormat="1" ht="30" x14ac:dyDescent="0.25">
      <c r="A49" s="16">
        <v>410</v>
      </c>
      <c r="B49" s="11" t="s">
        <v>341</v>
      </c>
      <c r="C49" s="74"/>
      <c r="D49" s="11" t="s">
        <v>263</v>
      </c>
      <c r="E49" s="12" t="s">
        <v>342</v>
      </c>
      <c r="F49" s="11" t="s">
        <v>102</v>
      </c>
      <c r="G49" s="16">
        <f t="shared" si="0"/>
        <v>4</v>
      </c>
      <c r="H49" s="23">
        <v>2.9861111111111113E-3</v>
      </c>
      <c r="I49" s="23"/>
      <c r="J49" s="23">
        <v>3.8078703703703707E-3</v>
      </c>
      <c r="K49" s="23">
        <v>4.9443287037037034E-3</v>
      </c>
      <c r="L49" s="23">
        <v>2.7430555555555559E-3</v>
      </c>
      <c r="M49" s="23">
        <v>2.5925925925925925E-3</v>
      </c>
      <c r="N49" s="23">
        <v>2.8703703703703708E-3</v>
      </c>
      <c r="O49" s="23">
        <v>1.6406249999999999E-3</v>
      </c>
      <c r="P49" s="23">
        <v>2.6615740740740736E-3</v>
      </c>
      <c r="Q49" s="23">
        <v>3.8425925925925923E-3</v>
      </c>
      <c r="R49" s="23">
        <v>2.0254629629629629E-3</v>
      </c>
      <c r="S49" s="23">
        <v>2.8703703703703708E-3</v>
      </c>
      <c r="T49" s="23">
        <v>3.5069444444444445E-3</v>
      </c>
      <c r="U49" s="23">
        <v>2.5245370370370374E-3</v>
      </c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13"/>
      <c r="AN49" s="13"/>
      <c r="AO49" s="13"/>
      <c r="AP49" s="13"/>
      <c r="AQ49" s="13">
        <v>10</v>
      </c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>
        <f t="shared" si="81"/>
        <v>87</v>
      </c>
      <c r="BS49" s="13">
        <f t="shared" si="82"/>
        <v>0</v>
      </c>
      <c r="BT49" s="13">
        <f t="shared" si="83"/>
        <v>60</v>
      </c>
      <c r="BU49" s="13">
        <f t="shared" si="84"/>
        <v>56</v>
      </c>
      <c r="BV49" s="13">
        <f t="shared" si="85"/>
        <v>72</v>
      </c>
      <c r="BW49" s="13">
        <f t="shared" si="86"/>
        <v>58</v>
      </c>
      <c r="BX49" s="13">
        <f t="shared" si="87"/>
        <v>69</v>
      </c>
      <c r="BY49" s="13">
        <f t="shared" si="88"/>
        <v>69</v>
      </c>
      <c r="BZ49" s="13">
        <f t="shared" si="89"/>
        <v>78</v>
      </c>
      <c r="CA49" s="13">
        <f t="shared" si="90"/>
        <v>81</v>
      </c>
      <c r="CB49" s="13">
        <f t="shared" si="91"/>
        <v>58</v>
      </c>
      <c r="CC49" s="13">
        <f t="shared" si="92"/>
        <v>58</v>
      </c>
      <c r="CD49" s="13">
        <f t="shared" si="93"/>
        <v>56</v>
      </c>
      <c r="CE49" s="13">
        <f t="shared" si="94"/>
        <v>69</v>
      </c>
      <c r="CF49" s="13">
        <f t="shared" si="95"/>
        <v>0</v>
      </c>
      <c r="CG49" s="13">
        <f t="shared" si="96"/>
        <v>0</v>
      </c>
      <c r="CH49" s="13">
        <f t="shared" si="97"/>
        <v>0</v>
      </c>
      <c r="CI49" s="13">
        <f t="shared" si="98"/>
        <v>0</v>
      </c>
      <c r="CJ49" s="13">
        <f t="shared" si="99"/>
        <v>0</v>
      </c>
      <c r="CK49" s="13">
        <f t="shared" si="100"/>
        <v>0</v>
      </c>
      <c r="CL49" s="13">
        <f t="shared" si="101"/>
        <v>0</v>
      </c>
      <c r="CM49" s="13">
        <f t="shared" si="102"/>
        <v>0</v>
      </c>
      <c r="CN49" s="13">
        <f t="shared" si="103"/>
        <v>0</v>
      </c>
      <c r="CO49" s="13">
        <f t="shared" si="104"/>
        <v>0</v>
      </c>
      <c r="CP49" s="13">
        <f t="shared" si="105"/>
        <v>0</v>
      </c>
      <c r="CQ49" s="13">
        <f t="shared" si="106"/>
        <v>0</v>
      </c>
      <c r="CR49" s="13">
        <f t="shared" si="107"/>
        <v>0</v>
      </c>
      <c r="CS49" s="13">
        <f t="shared" si="108"/>
        <v>0</v>
      </c>
      <c r="CT49" s="13">
        <f t="shared" si="109"/>
        <v>0</v>
      </c>
      <c r="CU49" s="13">
        <f t="shared" si="110"/>
        <v>0</v>
      </c>
      <c r="CV49" s="13">
        <f t="shared" si="111"/>
        <v>0</v>
      </c>
      <c r="CW49" s="13">
        <f t="shared" si="112"/>
        <v>87</v>
      </c>
      <c r="CX49" s="13">
        <f t="shared" si="113"/>
        <v>0</v>
      </c>
      <c r="CY49" s="13">
        <f t="shared" si="118"/>
        <v>60</v>
      </c>
      <c r="CZ49" s="13">
        <f t="shared" si="119"/>
        <v>56</v>
      </c>
      <c r="DA49" s="13">
        <f t="shared" si="120"/>
        <v>72</v>
      </c>
      <c r="DB49" s="13">
        <f t="shared" si="121"/>
        <v>48</v>
      </c>
      <c r="DC49" s="13">
        <f t="shared" si="122"/>
        <v>69</v>
      </c>
      <c r="DD49" s="13">
        <f t="shared" si="123"/>
        <v>69</v>
      </c>
      <c r="DE49" s="13">
        <f t="shared" si="124"/>
        <v>78</v>
      </c>
      <c r="DF49" s="13">
        <f t="shared" si="146"/>
        <v>81</v>
      </c>
      <c r="DG49" s="13">
        <f t="shared" si="125"/>
        <v>58</v>
      </c>
      <c r="DH49" s="13">
        <f t="shared" si="126"/>
        <v>58</v>
      </c>
      <c r="DI49" s="13">
        <f t="shared" si="127"/>
        <v>56</v>
      </c>
      <c r="DJ49" s="13">
        <f t="shared" si="128"/>
        <v>69</v>
      </c>
      <c r="DK49" s="13">
        <f t="shared" si="129"/>
        <v>0</v>
      </c>
      <c r="DL49" s="13">
        <f t="shared" si="130"/>
        <v>0</v>
      </c>
      <c r="DM49" s="13">
        <f t="shared" si="131"/>
        <v>0</v>
      </c>
      <c r="DN49" s="13">
        <f t="shared" si="132"/>
        <v>0</v>
      </c>
      <c r="DO49" s="13">
        <f t="shared" si="133"/>
        <v>0</v>
      </c>
      <c r="DP49" s="13">
        <f t="shared" si="134"/>
        <v>0</v>
      </c>
      <c r="DQ49" s="13">
        <f t="shared" si="135"/>
        <v>0</v>
      </c>
      <c r="DR49" s="13">
        <f t="shared" si="136"/>
        <v>0</v>
      </c>
      <c r="DS49" s="13">
        <f t="shared" si="137"/>
        <v>0</v>
      </c>
      <c r="DT49" s="13">
        <f t="shared" si="138"/>
        <v>0</v>
      </c>
      <c r="DU49" s="13">
        <f t="shared" si="139"/>
        <v>0</v>
      </c>
      <c r="DV49" s="13">
        <f t="shared" si="140"/>
        <v>0</v>
      </c>
      <c r="DW49" s="13">
        <f t="shared" si="141"/>
        <v>0</v>
      </c>
      <c r="DX49" s="13">
        <f t="shared" si="142"/>
        <v>0</v>
      </c>
      <c r="DY49" s="13">
        <f t="shared" si="143"/>
        <v>0</v>
      </c>
      <c r="DZ49" s="13">
        <f t="shared" si="144"/>
        <v>0</v>
      </c>
      <c r="EA49" s="13">
        <f t="shared" si="145"/>
        <v>0</v>
      </c>
      <c r="EB49" s="13">
        <f t="shared" si="80"/>
        <v>861</v>
      </c>
      <c r="EC49" s="17">
        <f t="shared" si="117"/>
        <v>10</v>
      </c>
      <c r="ED49" s="17"/>
    </row>
    <row r="50" spans="1:134" s="5" customFormat="1" ht="30" x14ac:dyDescent="0.25">
      <c r="A50" s="16">
        <v>411</v>
      </c>
      <c r="B50" s="11" t="s">
        <v>343</v>
      </c>
      <c r="C50" s="74"/>
      <c r="D50" s="11" t="s">
        <v>344</v>
      </c>
      <c r="E50" s="12" t="s">
        <v>256</v>
      </c>
      <c r="F50" s="11" t="s">
        <v>102</v>
      </c>
      <c r="G50" s="16">
        <f t="shared" si="0"/>
        <v>4</v>
      </c>
      <c r="H50" s="23">
        <v>3.3101851851851851E-3</v>
      </c>
      <c r="I50" s="23"/>
      <c r="J50" s="23">
        <v>3.1481481481481482E-3</v>
      </c>
      <c r="K50" s="23">
        <v>1.5274305555555555E-3</v>
      </c>
      <c r="L50" s="23">
        <v>2.7199074074074074E-3</v>
      </c>
      <c r="M50" s="23">
        <v>1.712962962962963E-3</v>
      </c>
      <c r="N50" s="23">
        <v>1.9871527777777778E-3</v>
      </c>
      <c r="O50" s="23">
        <v>9.5694444444444462E-4</v>
      </c>
      <c r="P50" s="23">
        <v>3.2031249999999998E-3</v>
      </c>
      <c r="Q50" s="23">
        <v>4.8495370370370368E-3</v>
      </c>
      <c r="R50" s="23">
        <v>2.0949074074074073E-3</v>
      </c>
      <c r="S50" s="23">
        <v>1.6435185185185183E-3</v>
      </c>
      <c r="T50" s="23">
        <v>2.1064814814814813E-3</v>
      </c>
      <c r="U50" s="23">
        <v>2.0565972222222222E-3</v>
      </c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13"/>
      <c r="AN50" s="13"/>
      <c r="AO50" s="13"/>
      <c r="AP50" s="13"/>
      <c r="AQ50" s="13">
        <v>10</v>
      </c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>
        <f t="shared" si="81"/>
        <v>66</v>
      </c>
      <c r="BS50" s="13">
        <f t="shared" si="82"/>
        <v>0</v>
      </c>
      <c r="BT50" s="13">
        <f t="shared" si="83"/>
        <v>75</v>
      </c>
      <c r="BU50" s="13">
        <f t="shared" si="84"/>
        <v>100</v>
      </c>
      <c r="BV50" s="13">
        <f t="shared" si="85"/>
        <v>75</v>
      </c>
      <c r="BW50" s="13">
        <f t="shared" si="86"/>
        <v>87</v>
      </c>
      <c r="BX50" s="13">
        <f t="shared" si="87"/>
        <v>81</v>
      </c>
      <c r="BY50" s="13">
        <f t="shared" si="88"/>
        <v>87</v>
      </c>
      <c r="BZ50" s="13">
        <f t="shared" si="89"/>
        <v>66</v>
      </c>
      <c r="CA50" s="13">
        <f t="shared" si="90"/>
        <v>60</v>
      </c>
      <c r="CB50" s="13">
        <f t="shared" si="91"/>
        <v>56</v>
      </c>
      <c r="CC50" s="13">
        <f t="shared" si="92"/>
        <v>84</v>
      </c>
      <c r="CD50" s="13">
        <f t="shared" si="93"/>
        <v>87</v>
      </c>
      <c r="CE50" s="13">
        <f t="shared" si="94"/>
        <v>84</v>
      </c>
      <c r="CF50" s="13">
        <f t="shared" si="95"/>
        <v>0</v>
      </c>
      <c r="CG50" s="13">
        <f t="shared" si="96"/>
        <v>0</v>
      </c>
      <c r="CH50" s="13">
        <f t="shared" si="97"/>
        <v>0</v>
      </c>
      <c r="CI50" s="13">
        <f t="shared" si="98"/>
        <v>0</v>
      </c>
      <c r="CJ50" s="13">
        <f t="shared" si="99"/>
        <v>0</v>
      </c>
      <c r="CK50" s="13">
        <f t="shared" si="100"/>
        <v>0</v>
      </c>
      <c r="CL50" s="13">
        <f t="shared" si="101"/>
        <v>0</v>
      </c>
      <c r="CM50" s="13">
        <f t="shared" si="102"/>
        <v>0</v>
      </c>
      <c r="CN50" s="13">
        <f t="shared" si="103"/>
        <v>0</v>
      </c>
      <c r="CO50" s="13">
        <f t="shared" si="104"/>
        <v>0</v>
      </c>
      <c r="CP50" s="13">
        <f t="shared" si="105"/>
        <v>0</v>
      </c>
      <c r="CQ50" s="13">
        <f t="shared" si="106"/>
        <v>0</v>
      </c>
      <c r="CR50" s="13">
        <f t="shared" si="107"/>
        <v>0</v>
      </c>
      <c r="CS50" s="13">
        <f t="shared" si="108"/>
        <v>0</v>
      </c>
      <c r="CT50" s="13">
        <f t="shared" si="109"/>
        <v>0</v>
      </c>
      <c r="CU50" s="13">
        <f t="shared" si="110"/>
        <v>0</v>
      </c>
      <c r="CV50" s="13">
        <f t="shared" si="111"/>
        <v>0</v>
      </c>
      <c r="CW50" s="13">
        <f t="shared" si="112"/>
        <v>66</v>
      </c>
      <c r="CX50" s="13">
        <f t="shared" si="113"/>
        <v>0</v>
      </c>
      <c r="CY50" s="13">
        <f t="shared" si="118"/>
        <v>75</v>
      </c>
      <c r="CZ50" s="13">
        <f t="shared" si="119"/>
        <v>100</v>
      </c>
      <c r="DA50" s="13">
        <f t="shared" si="120"/>
        <v>75</v>
      </c>
      <c r="DB50" s="13">
        <f t="shared" si="121"/>
        <v>77</v>
      </c>
      <c r="DC50" s="13">
        <f t="shared" si="122"/>
        <v>81</v>
      </c>
      <c r="DD50" s="13">
        <f t="shared" si="123"/>
        <v>87</v>
      </c>
      <c r="DE50" s="13">
        <f t="shared" si="124"/>
        <v>66</v>
      </c>
      <c r="DF50" s="13">
        <f t="shared" si="146"/>
        <v>60</v>
      </c>
      <c r="DG50" s="13">
        <f t="shared" si="125"/>
        <v>56</v>
      </c>
      <c r="DH50" s="13">
        <f t="shared" si="126"/>
        <v>84</v>
      </c>
      <c r="DI50" s="13">
        <f t="shared" si="127"/>
        <v>87</v>
      </c>
      <c r="DJ50" s="13">
        <f t="shared" si="128"/>
        <v>84</v>
      </c>
      <c r="DK50" s="13">
        <f t="shared" si="129"/>
        <v>0</v>
      </c>
      <c r="DL50" s="13">
        <f t="shared" si="130"/>
        <v>0</v>
      </c>
      <c r="DM50" s="13">
        <f t="shared" si="131"/>
        <v>0</v>
      </c>
      <c r="DN50" s="13">
        <f t="shared" si="132"/>
        <v>0</v>
      </c>
      <c r="DO50" s="13">
        <f t="shared" si="133"/>
        <v>0</v>
      </c>
      <c r="DP50" s="13">
        <f t="shared" si="134"/>
        <v>0</v>
      </c>
      <c r="DQ50" s="13">
        <f t="shared" si="135"/>
        <v>0</v>
      </c>
      <c r="DR50" s="13">
        <f t="shared" si="136"/>
        <v>0</v>
      </c>
      <c r="DS50" s="13">
        <f t="shared" si="137"/>
        <v>0</v>
      </c>
      <c r="DT50" s="13">
        <f t="shared" si="138"/>
        <v>0</v>
      </c>
      <c r="DU50" s="13">
        <f t="shared" si="139"/>
        <v>0</v>
      </c>
      <c r="DV50" s="13">
        <f t="shared" si="140"/>
        <v>0</v>
      </c>
      <c r="DW50" s="13">
        <f t="shared" si="141"/>
        <v>0</v>
      </c>
      <c r="DX50" s="13">
        <f t="shared" si="142"/>
        <v>0</v>
      </c>
      <c r="DY50" s="13">
        <f t="shared" si="143"/>
        <v>0</v>
      </c>
      <c r="DZ50" s="13">
        <f t="shared" si="144"/>
        <v>0</v>
      </c>
      <c r="EA50" s="13">
        <f t="shared" si="145"/>
        <v>0</v>
      </c>
      <c r="EB50" s="13">
        <f t="shared" si="80"/>
        <v>998</v>
      </c>
      <c r="EC50" s="17">
        <f t="shared" si="117"/>
        <v>6</v>
      </c>
      <c r="ED50" s="17"/>
    </row>
    <row r="51" spans="1:134" s="5" customFormat="1" ht="30" x14ac:dyDescent="0.25">
      <c r="A51" s="16">
        <v>412</v>
      </c>
      <c r="B51" s="11" t="s">
        <v>345</v>
      </c>
      <c r="C51" s="74"/>
      <c r="D51" s="11" t="s">
        <v>263</v>
      </c>
      <c r="E51" s="12" t="s">
        <v>292</v>
      </c>
      <c r="F51" s="11" t="s">
        <v>102</v>
      </c>
      <c r="G51" s="16">
        <f t="shared" si="0"/>
        <v>4</v>
      </c>
      <c r="H51" s="23">
        <v>3.2870370370370367E-3</v>
      </c>
      <c r="I51" s="23"/>
      <c r="J51" s="23">
        <v>2.8472222222222219E-3</v>
      </c>
      <c r="K51" s="23">
        <v>1.7700231481481482E-3</v>
      </c>
      <c r="L51" s="23">
        <v>1.3425925925925925E-3</v>
      </c>
      <c r="M51" s="23">
        <v>1.5046296296296294E-3</v>
      </c>
      <c r="N51" s="23">
        <v>1.6913194444444447E-3</v>
      </c>
      <c r="O51" s="23">
        <v>9.190972222222223E-4</v>
      </c>
      <c r="P51" s="23">
        <v>2.1784722222222223E-3</v>
      </c>
      <c r="Q51" s="23">
        <v>3.4953703703703705E-3</v>
      </c>
      <c r="R51" s="23">
        <v>1.0197916666666667E-3</v>
      </c>
      <c r="S51" s="23">
        <v>1.4467592592592594E-3</v>
      </c>
      <c r="T51" s="23">
        <v>2.0486111111111113E-3</v>
      </c>
      <c r="U51" s="23">
        <v>2.0152777777777777E-3</v>
      </c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13"/>
      <c r="AN51" s="13"/>
      <c r="AO51" s="13"/>
      <c r="AP51" s="13"/>
      <c r="AQ51" s="13"/>
      <c r="AR51" s="13"/>
      <c r="AS51" s="13"/>
      <c r="AT51" s="13"/>
      <c r="AU51" s="13">
        <v>50</v>
      </c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>
        <f t="shared" si="81"/>
        <v>72</v>
      </c>
      <c r="BS51" s="13">
        <f t="shared" si="82"/>
        <v>0</v>
      </c>
      <c r="BT51" s="13">
        <f t="shared" si="83"/>
        <v>81</v>
      </c>
      <c r="BU51" s="13">
        <f t="shared" si="84"/>
        <v>84</v>
      </c>
      <c r="BV51" s="13">
        <f t="shared" si="85"/>
        <v>100</v>
      </c>
      <c r="BW51" s="13">
        <f t="shared" si="86"/>
        <v>95</v>
      </c>
      <c r="BX51" s="13">
        <f t="shared" si="87"/>
        <v>87</v>
      </c>
      <c r="BY51" s="13">
        <f t="shared" si="88"/>
        <v>90</v>
      </c>
      <c r="BZ51" s="13">
        <f t="shared" si="89"/>
        <v>87</v>
      </c>
      <c r="CA51" s="13">
        <f t="shared" si="90"/>
        <v>84</v>
      </c>
      <c r="CB51" s="13">
        <f t="shared" si="91"/>
        <v>100</v>
      </c>
      <c r="CC51" s="13">
        <f t="shared" si="92"/>
        <v>95</v>
      </c>
      <c r="CD51" s="13">
        <f t="shared" si="93"/>
        <v>90</v>
      </c>
      <c r="CE51" s="13">
        <f t="shared" si="94"/>
        <v>87</v>
      </c>
      <c r="CF51" s="13">
        <f t="shared" si="95"/>
        <v>0</v>
      </c>
      <c r="CG51" s="13">
        <f t="shared" si="96"/>
        <v>0</v>
      </c>
      <c r="CH51" s="13">
        <f t="shared" si="97"/>
        <v>0</v>
      </c>
      <c r="CI51" s="13">
        <f t="shared" si="98"/>
        <v>0</v>
      </c>
      <c r="CJ51" s="13">
        <f t="shared" si="99"/>
        <v>0</v>
      </c>
      <c r="CK51" s="13">
        <f t="shared" si="100"/>
        <v>0</v>
      </c>
      <c r="CL51" s="13">
        <f t="shared" si="101"/>
        <v>0</v>
      </c>
      <c r="CM51" s="13">
        <f t="shared" si="102"/>
        <v>0</v>
      </c>
      <c r="CN51" s="13">
        <f t="shared" si="103"/>
        <v>0</v>
      </c>
      <c r="CO51" s="13">
        <f t="shared" si="104"/>
        <v>0</v>
      </c>
      <c r="CP51" s="13">
        <f t="shared" si="105"/>
        <v>0</v>
      </c>
      <c r="CQ51" s="13">
        <f t="shared" si="106"/>
        <v>0</v>
      </c>
      <c r="CR51" s="13">
        <f t="shared" si="107"/>
        <v>0</v>
      </c>
      <c r="CS51" s="13">
        <f t="shared" si="108"/>
        <v>0</v>
      </c>
      <c r="CT51" s="13">
        <f t="shared" si="109"/>
        <v>0</v>
      </c>
      <c r="CU51" s="13">
        <f t="shared" si="110"/>
        <v>0</v>
      </c>
      <c r="CV51" s="13">
        <f t="shared" si="111"/>
        <v>0</v>
      </c>
      <c r="CW51" s="13">
        <f t="shared" si="112"/>
        <v>72</v>
      </c>
      <c r="CX51" s="13">
        <f t="shared" si="113"/>
        <v>0</v>
      </c>
      <c r="CY51" s="13">
        <f t="shared" si="118"/>
        <v>81</v>
      </c>
      <c r="CZ51" s="13">
        <f t="shared" si="119"/>
        <v>84</v>
      </c>
      <c r="DA51" s="13">
        <f t="shared" si="120"/>
        <v>100</v>
      </c>
      <c r="DB51" s="13">
        <f t="shared" si="121"/>
        <v>95</v>
      </c>
      <c r="DC51" s="13">
        <f t="shared" si="122"/>
        <v>87</v>
      </c>
      <c r="DD51" s="13">
        <f t="shared" si="123"/>
        <v>90</v>
      </c>
      <c r="DE51" s="13">
        <f t="shared" si="124"/>
        <v>87</v>
      </c>
      <c r="DF51" s="13">
        <f t="shared" si="146"/>
        <v>34</v>
      </c>
      <c r="DG51" s="13">
        <f t="shared" si="125"/>
        <v>100</v>
      </c>
      <c r="DH51" s="13">
        <f t="shared" si="126"/>
        <v>95</v>
      </c>
      <c r="DI51" s="13">
        <f t="shared" si="127"/>
        <v>90</v>
      </c>
      <c r="DJ51" s="13">
        <f t="shared" si="128"/>
        <v>87</v>
      </c>
      <c r="DK51" s="13">
        <f t="shared" si="129"/>
        <v>0</v>
      </c>
      <c r="DL51" s="13">
        <f t="shared" si="130"/>
        <v>0</v>
      </c>
      <c r="DM51" s="13">
        <f t="shared" si="131"/>
        <v>0</v>
      </c>
      <c r="DN51" s="13">
        <f t="shared" si="132"/>
        <v>0</v>
      </c>
      <c r="DO51" s="13">
        <f t="shared" si="133"/>
        <v>0</v>
      </c>
      <c r="DP51" s="13">
        <f t="shared" si="134"/>
        <v>0</v>
      </c>
      <c r="DQ51" s="13">
        <f t="shared" si="135"/>
        <v>0</v>
      </c>
      <c r="DR51" s="13">
        <f t="shared" si="136"/>
        <v>0</v>
      </c>
      <c r="DS51" s="13">
        <f t="shared" si="137"/>
        <v>0</v>
      </c>
      <c r="DT51" s="13">
        <f t="shared" si="138"/>
        <v>0</v>
      </c>
      <c r="DU51" s="13">
        <f t="shared" si="139"/>
        <v>0</v>
      </c>
      <c r="DV51" s="13">
        <f t="shared" si="140"/>
        <v>0</v>
      </c>
      <c r="DW51" s="13">
        <f t="shared" si="141"/>
        <v>0</v>
      </c>
      <c r="DX51" s="13">
        <f t="shared" si="142"/>
        <v>0</v>
      </c>
      <c r="DY51" s="13">
        <f t="shared" si="143"/>
        <v>0</v>
      </c>
      <c r="DZ51" s="13">
        <f t="shared" si="144"/>
        <v>0</v>
      </c>
      <c r="EA51" s="13">
        <f t="shared" si="145"/>
        <v>0</v>
      </c>
      <c r="EB51" s="13">
        <f t="shared" si="80"/>
        <v>1102</v>
      </c>
      <c r="EC51" s="17">
        <f t="shared" si="117"/>
        <v>3</v>
      </c>
      <c r="ED51" s="17"/>
    </row>
    <row r="52" spans="1:134" s="5" customFormat="1" ht="30" x14ac:dyDescent="0.25">
      <c r="A52" s="16">
        <v>413</v>
      </c>
      <c r="B52" s="11" t="s">
        <v>346</v>
      </c>
      <c r="C52" s="74"/>
      <c r="D52" s="11" t="s">
        <v>263</v>
      </c>
      <c r="E52" s="12" t="s">
        <v>292</v>
      </c>
      <c r="F52" s="11" t="s">
        <v>102</v>
      </c>
      <c r="G52" s="16">
        <f t="shared" si="0"/>
        <v>4</v>
      </c>
      <c r="H52" s="23">
        <v>3.645833333333333E-3</v>
      </c>
      <c r="I52" s="23"/>
      <c r="J52" s="23">
        <v>2.7430555555555559E-3</v>
      </c>
      <c r="K52" s="23">
        <v>2.7813657407407409E-3</v>
      </c>
      <c r="L52" s="23">
        <v>1.5624999999999999E-3</v>
      </c>
      <c r="M52" s="23">
        <v>1.8402777777777777E-3</v>
      </c>
      <c r="N52" s="23">
        <v>1.5158564814814815E-3</v>
      </c>
      <c r="O52" s="23">
        <v>1.1266203703703705E-3</v>
      </c>
      <c r="P52" s="23">
        <v>1.9922453703703704E-3</v>
      </c>
      <c r="Q52" s="23">
        <v>3.0092592592592588E-3</v>
      </c>
      <c r="R52" s="23">
        <v>1.1921296296296296E-3</v>
      </c>
      <c r="S52" s="23">
        <v>1.689814814814815E-3</v>
      </c>
      <c r="T52" s="23">
        <v>2.1064814814814813E-3</v>
      </c>
      <c r="U52" s="23">
        <v>2.0959490740740743E-3</v>
      </c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>
        <f t="shared" si="81"/>
        <v>60</v>
      </c>
      <c r="BS52" s="13">
        <f t="shared" si="82"/>
        <v>0</v>
      </c>
      <c r="BT52" s="13">
        <f t="shared" si="83"/>
        <v>90</v>
      </c>
      <c r="BU52" s="13">
        <f t="shared" si="84"/>
        <v>60</v>
      </c>
      <c r="BV52" s="13">
        <f t="shared" si="85"/>
        <v>95</v>
      </c>
      <c r="BW52" s="13">
        <f t="shared" si="86"/>
        <v>81</v>
      </c>
      <c r="BX52" s="13">
        <f t="shared" si="87"/>
        <v>95</v>
      </c>
      <c r="BY52" s="13">
        <f t="shared" si="88"/>
        <v>78</v>
      </c>
      <c r="BZ52" s="13">
        <f t="shared" si="89"/>
        <v>90</v>
      </c>
      <c r="CA52" s="13">
        <f t="shared" si="90"/>
        <v>95</v>
      </c>
      <c r="CB52" s="13">
        <f t="shared" si="91"/>
        <v>90</v>
      </c>
      <c r="CC52" s="13">
        <f t="shared" si="92"/>
        <v>78</v>
      </c>
      <c r="CD52" s="13">
        <f t="shared" si="93"/>
        <v>87</v>
      </c>
      <c r="CE52" s="13">
        <f t="shared" si="94"/>
        <v>75</v>
      </c>
      <c r="CF52" s="13">
        <f t="shared" si="95"/>
        <v>0</v>
      </c>
      <c r="CG52" s="13">
        <f t="shared" si="96"/>
        <v>0</v>
      </c>
      <c r="CH52" s="13">
        <f t="shared" si="97"/>
        <v>0</v>
      </c>
      <c r="CI52" s="13">
        <f t="shared" si="98"/>
        <v>0</v>
      </c>
      <c r="CJ52" s="13">
        <f t="shared" si="99"/>
        <v>0</v>
      </c>
      <c r="CK52" s="13">
        <f t="shared" si="100"/>
        <v>0</v>
      </c>
      <c r="CL52" s="13">
        <f t="shared" si="101"/>
        <v>0</v>
      </c>
      <c r="CM52" s="13">
        <f t="shared" si="102"/>
        <v>0</v>
      </c>
      <c r="CN52" s="13">
        <f t="shared" si="103"/>
        <v>0</v>
      </c>
      <c r="CO52" s="13">
        <f t="shared" si="104"/>
        <v>0</v>
      </c>
      <c r="CP52" s="13">
        <f t="shared" si="105"/>
        <v>0</v>
      </c>
      <c r="CQ52" s="13">
        <f t="shared" si="106"/>
        <v>0</v>
      </c>
      <c r="CR52" s="13">
        <f t="shared" si="107"/>
        <v>0</v>
      </c>
      <c r="CS52" s="13">
        <f t="shared" si="108"/>
        <v>0</v>
      </c>
      <c r="CT52" s="13">
        <f t="shared" si="109"/>
        <v>0</v>
      </c>
      <c r="CU52" s="13">
        <f t="shared" si="110"/>
        <v>0</v>
      </c>
      <c r="CV52" s="13">
        <f t="shared" si="111"/>
        <v>0</v>
      </c>
      <c r="CW52" s="13">
        <f t="shared" si="112"/>
        <v>60</v>
      </c>
      <c r="CX52" s="13">
        <f t="shared" si="113"/>
        <v>0</v>
      </c>
      <c r="CY52" s="13">
        <f t="shared" si="118"/>
        <v>90</v>
      </c>
      <c r="CZ52" s="13">
        <f t="shared" si="119"/>
        <v>60</v>
      </c>
      <c r="DA52" s="13">
        <f t="shared" si="120"/>
        <v>95</v>
      </c>
      <c r="DB52" s="13">
        <f t="shared" si="121"/>
        <v>81</v>
      </c>
      <c r="DC52" s="13">
        <f t="shared" si="122"/>
        <v>95</v>
      </c>
      <c r="DD52" s="13">
        <f t="shared" si="123"/>
        <v>78</v>
      </c>
      <c r="DE52" s="13">
        <f t="shared" si="124"/>
        <v>90</v>
      </c>
      <c r="DF52" s="13">
        <f t="shared" si="146"/>
        <v>95</v>
      </c>
      <c r="DG52" s="13">
        <f t="shared" si="125"/>
        <v>90</v>
      </c>
      <c r="DH52" s="13">
        <f t="shared" si="126"/>
        <v>78</v>
      </c>
      <c r="DI52" s="13">
        <f t="shared" si="127"/>
        <v>87</v>
      </c>
      <c r="DJ52" s="13">
        <f t="shared" si="128"/>
        <v>75</v>
      </c>
      <c r="DK52" s="13">
        <f t="shared" si="129"/>
        <v>0</v>
      </c>
      <c r="DL52" s="13">
        <f t="shared" si="130"/>
        <v>0</v>
      </c>
      <c r="DM52" s="13">
        <f t="shared" si="131"/>
        <v>0</v>
      </c>
      <c r="DN52" s="13">
        <f t="shared" si="132"/>
        <v>0</v>
      </c>
      <c r="DO52" s="13">
        <f t="shared" si="133"/>
        <v>0</v>
      </c>
      <c r="DP52" s="13">
        <f t="shared" si="134"/>
        <v>0</v>
      </c>
      <c r="DQ52" s="13">
        <f t="shared" si="135"/>
        <v>0</v>
      </c>
      <c r="DR52" s="13">
        <f t="shared" si="136"/>
        <v>0</v>
      </c>
      <c r="DS52" s="13">
        <f t="shared" si="137"/>
        <v>0</v>
      </c>
      <c r="DT52" s="13">
        <f t="shared" si="138"/>
        <v>0</v>
      </c>
      <c r="DU52" s="13">
        <f t="shared" si="139"/>
        <v>0</v>
      </c>
      <c r="DV52" s="13">
        <f t="shared" si="140"/>
        <v>0</v>
      </c>
      <c r="DW52" s="13">
        <f t="shared" si="141"/>
        <v>0</v>
      </c>
      <c r="DX52" s="13">
        <f t="shared" si="142"/>
        <v>0</v>
      </c>
      <c r="DY52" s="13">
        <f t="shared" si="143"/>
        <v>0</v>
      </c>
      <c r="DZ52" s="13">
        <f t="shared" si="144"/>
        <v>0</v>
      </c>
      <c r="EA52" s="13">
        <f t="shared" si="145"/>
        <v>0</v>
      </c>
      <c r="EB52" s="13">
        <f t="shared" si="80"/>
        <v>1074</v>
      </c>
      <c r="EC52" s="17">
        <f t="shared" si="117"/>
        <v>4</v>
      </c>
      <c r="ED52" s="17"/>
    </row>
    <row r="53" spans="1:134" s="5" customFormat="1" ht="30" x14ac:dyDescent="0.25">
      <c r="A53" s="16">
        <v>414</v>
      </c>
      <c r="B53" s="11" t="s">
        <v>347</v>
      </c>
      <c r="C53" s="74"/>
      <c r="D53" s="11" t="s">
        <v>267</v>
      </c>
      <c r="E53" s="12" t="s">
        <v>348</v>
      </c>
      <c r="F53" s="11" t="s">
        <v>102</v>
      </c>
      <c r="G53" s="16">
        <f t="shared" si="0"/>
        <v>4</v>
      </c>
      <c r="H53" s="23">
        <v>4.3518518518518515E-3</v>
      </c>
      <c r="I53" s="23"/>
      <c r="J53" s="23">
        <v>4.0740740740740746E-3</v>
      </c>
      <c r="K53" s="23">
        <v>2.2450231481481483E-3</v>
      </c>
      <c r="L53" s="23">
        <v>4.0162037037037033E-3</v>
      </c>
      <c r="M53" s="23">
        <v>2.1180555555555553E-3</v>
      </c>
      <c r="N53" s="23">
        <v>4.0252314814814812E-3</v>
      </c>
      <c r="O53" s="23">
        <v>1.5798611111111111E-3</v>
      </c>
      <c r="P53" s="23">
        <v>2.6493055555555558E-3</v>
      </c>
      <c r="Q53" s="23">
        <v>4.6759259259259263E-3</v>
      </c>
      <c r="R53" s="23">
        <v>1.9097222222222222E-3</v>
      </c>
      <c r="S53" s="23">
        <v>1.6782407407407406E-3</v>
      </c>
      <c r="T53" s="23">
        <v>2.1180555555555553E-3</v>
      </c>
      <c r="U53" s="23">
        <v>2.7806712962962963E-3</v>
      </c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>
        <f t="shared" si="81"/>
        <v>52</v>
      </c>
      <c r="BS53" s="13">
        <f t="shared" si="82"/>
        <v>0</v>
      </c>
      <c r="BT53" s="13">
        <f t="shared" si="83"/>
        <v>58</v>
      </c>
      <c r="BU53" s="13">
        <f t="shared" si="84"/>
        <v>75</v>
      </c>
      <c r="BV53" s="13">
        <f t="shared" si="85"/>
        <v>54</v>
      </c>
      <c r="BW53" s="13">
        <f t="shared" si="86"/>
        <v>69</v>
      </c>
      <c r="BX53" s="13">
        <f t="shared" si="87"/>
        <v>60</v>
      </c>
      <c r="BY53" s="13">
        <f t="shared" si="88"/>
        <v>72</v>
      </c>
      <c r="BZ53" s="13">
        <f t="shared" si="89"/>
        <v>81</v>
      </c>
      <c r="CA53" s="13">
        <f t="shared" si="90"/>
        <v>63</v>
      </c>
      <c r="CB53" s="13">
        <f t="shared" si="91"/>
        <v>60</v>
      </c>
      <c r="CC53" s="13">
        <f t="shared" si="92"/>
        <v>81</v>
      </c>
      <c r="CD53" s="13">
        <f t="shared" si="93"/>
        <v>81</v>
      </c>
      <c r="CE53" s="13">
        <f t="shared" si="94"/>
        <v>60</v>
      </c>
      <c r="CF53" s="13">
        <f t="shared" si="95"/>
        <v>0</v>
      </c>
      <c r="CG53" s="13">
        <f t="shared" si="96"/>
        <v>0</v>
      </c>
      <c r="CH53" s="13">
        <f t="shared" si="97"/>
        <v>0</v>
      </c>
      <c r="CI53" s="13">
        <f t="shared" si="98"/>
        <v>0</v>
      </c>
      <c r="CJ53" s="13">
        <f t="shared" si="99"/>
        <v>0</v>
      </c>
      <c r="CK53" s="13">
        <f t="shared" si="100"/>
        <v>0</v>
      </c>
      <c r="CL53" s="13">
        <f t="shared" si="101"/>
        <v>0</v>
      </c>
      <c r="CM53" s="13">
        <f t="shared" si="102"/>
        <v>0</v>
      </c>
      <c r="CN53" s="13">
        <f t="shared" si="103"/>
        <v>0</v>
      </c>
      <c r="CO53" s="13">
        <f t="shared" si="104"/>
        <v>0</v>
      </c>
      <c r="CP53" s="13">
        <f t="shared" si="105"/>
        <v>0</v>
      </c>
      <c r="CQ53" s="13">
        <f t="shared" si="106"/>
        <v>0</v>
      </c>
      <c r="CR53" s="13">
        <f t="shared" si="107"/>
        <v>0</v>
      </c>
      <c r="CS53" s="13">
        <f t="shared" si="108"/>
        <v>0</v>
      </c>
      <c r="CT53" s="13">
        <f t="shared" si="109"/>
        <v>0</v>
      </c>
      <c r="CU53" s="13">
        <f t="shared" si="110"/>
        <v>0</v>
      </c>
      <c r="CV53" s="13">
        <f t="shared" si="111"/>
        <v>0</v>
      </c>
      <c r="CW53" s="13">
        <f t="shared" si="112"/>
        <v>52</v>
      </c>
      <c r="CX53" s="13">
        <f t="shared" si="113"/>
        <v>0</v>
      </c>
      <c r="CY53" s="13">
        <f t="shared" si="118"/>
        <v>58</v>
      </c>
      <c r="CZ53" s="13">
        <f t="shared" si="119"/>
        <v>75</v>
      </c>
      <c r="DA53" s="13">
        <f t="shared" si="120"/>
        <v>54</v>
      </c>
      <c r="DB53" s="13">
        <f t="shared" si="121"/>
        <v>69</v>
      </c>
      <c r="DC53" s="13">
        <f t="shared" si="122"/>
        <v>60</v>
      </c>
      <c r="DD53" s="13">
        <f t="shared" si="123"/>
        <v>72</v>
      </c>
      <c r="DE53" s="13">
        <f t="shared" si="124"/>
        <v>81</v>
      </c>
      <c r="DF53" s="13">
        <f t="shared" si="146"/>
        <v>63</v>
      </c>
      <c r="DG53" s="13">
        <f t="shared" si="125"/>
        <v>60</v>
      </c>
      <c r="DH53" s="13">
        <f t="shared" si="126"/>
        <v>81</v>
      </c>
      <c r="DI53" s="13">
        <f t="shared" si="127"/>
        <v>81</v>
      </c>
      <c r="DJ53" s="13">
        <f t="shared" si="128"/>
        <v>60</v>
      </c>
      <c r="DK53" s="13">
        <f t="shared" si="129"/>
        <v>0</v>
      </c>
      <c r="DL53" s="13">
        <f t="shared" si="130"/>
        <v>0</v>
      </c>
      <c r="DM53" s="13">
        <f t="shared" si="131"/>
        <v>0</v>
      </c>
      <c r="DN53" s="13">
        <f t="shared" si="132"/>
        <v>0</v>
      </c>
      <c r="DO53" s="13">
        <f t="shared" si="133"/>
        <v>0</v>
      </c>
      <c r="DP53" s="13">
        <f t="shared" si="134"/>
        <v>0</v>
      </c>
      <c r="DQ53" s="13">
        <f t="shared" si="135"/>
        <v>0</v>
      </c>
      <c r="DR53" s="13">
        <f t="shared" si="136"/>
        <v>0</v>
      </c>
      <c r="DS53" s="13">
        <f t="shared" si="137"/>
        <v>0</v>
      </c>
      <c r="DT53" s="13">
        <f t="shared" si="138"/>
        <v>0</v>
      </c>
      <c r="DU53" s="13">
        <f t="shared" si="139"/>
        <v>0</v>
      </c>
      <c r="DV53" s="13">
        <f t="shared" si="140"/>
        <v>0</v>
      </c>
      <c r="DW53" s="13">
        <f t="shared" si="141"/>
        <v>0</v>
      </c>
      <c r="DX53" s="13">
        <f t="shared" si="142"/>
        <v>0</v>
      </c>
      <c r="DY53" s="13">
        <f t="shared" si="143"/>
        <v>0</v>
      </c>
      <c r="DZ53" s="13">
        <f t="shared" si="144"/>
        <v>0</v>
      </c>
      <c r="EA53" s="13">
        <f t="shared" si="145"/>
        <v>0</v>
      </c>
      <c r="EB53" s="13">
        <f t="shared" si="80"/>
        <v>866</v>
      </c>
      <c r="EC53" s="17">
        <f t="shared" si="117"/>
        <v>9</v>
      </c>
      <c r="ED53" s="17"/>
    </row>
    <row r="54" spans="1:134" s="5" customFormat="1" ht="30" x14ac:dyDescent="0.25">
      <c r="A54" s="16">
        <v>415</v>
      </c>
      <c r="B54" s="11" t="s">
        <v>356</v>
      </c>
      <c r="C54" s="74"/>
      <c r="D54" s="11" t="s">
        <v>266</v>
      </c>
      <c r="E54" s="12"/>
      <c r="F54" s="11" t="s">
        <v>102</v>
      </c>
      <c r="G54" s="16">
        <f>VLOOKUP(F54,Class,2,FALSE)</f>
        <v>4</v>
      </c>
      <c r="H54" s="23">
        <v>3.2175925925925926E-3</v>
      </c>
      <c r="I54" s="23"/>
      <c r="J54" s="23">
        <v>4.2824074074074075E-3</v>
      </c>
      <c r="K54" s="23">
        <v>1.7484953703703705E-3</v>
      </c>
      <c r="L54" s="23">
        <v>3.3101851851851851E-3</v>
      </c>
      <c r="M54" s="23">
        <v>2.2685185185185182E-3</v>
      </c>
      <c r="N54" s="23" t="s">
        <v>116</v>
      </c>
      <c r="O54" s="23">
        <v>1.964699074074074E-3</v>
      </c>
      <c r="P54" s="23" t="s">
        <v>116</v>
      </c>
      <c r="Q54" s="23">
        <v>4.2824074074074075E-3</v>
      </c>
      <c r="R54" s="23">
        <v>1.8750000000000001E-3</v>
      </c>
      <c r="S54" s="23">
        <v>2.5462962962962961E-3</v>
      </c>
      <c r="T54" s="23">
        <v>2.4537037037037036E-3</v>
      </c>
      <c r="U54" s="23">
        <v>2.0833333333333333E-3</v>
      </c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13"/>
      <c r="AN54" s="13"/>
      <c r="AO54" s="13"/>
      <c r="AP54" s="13"/>
      <c r="AQ54" s="13">
        <v>10</v>
      </c>
      <c r="AR54" s="13"/>
      <c r="AS54" s="13"/>
      <c r="AT54" s="13"/>
      <c r="AU54" s="13">
        <v>10</v>
      </c>
      <c r="AV54" s="13"/>
      <c r="AW54" s="13">
        <v>40</v>
      </c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>
        <f t="shared" si="81"/>
        <v>78</v>
      </c>
      <c r="BS54" s="13">
        <f t="shared" si="82"/>
        <v>0</v>
      </c>
      <c r="BT54" s="13">
        <f t="shared" si="83"/>
        <v>54</v>
      </c>
      <c r="BU54" s="13">
        <f t="shared" si="84"/>
        <v>87</v>
      </c>
      <c r="BV54" s="13">
        <f t="shared" si="85"/>
        <v>56</v>
      </c>
      <c r="BW54" s="13">
        <f t="shared" si="86"/>
        <v>66</v>
      </c>
      <c r="BX54" s="13">
        <f t="shared" si="87"/>
        <v>20</v>
      </c>
      <c r="BY54" s="13">
        <f t="shared" si="88"/>
        <v>60</v>
      </c>
      <c r="BZ54" s="13">
        <f t="shared" si="89"/>
        <v>20</v>
      </c>
      <c r="CA54" s="13">
        <f t="shared" si="90"/>
        <v>72</v>
      </c>
      <c r="CB54" s="13">
        <f t="shared" si="91"/>
        <v>63</v>
      </c>
      <c r="CC54" s="13">
        <f t="shared" si="92"/>
        <v>60</v>
      </c>
      <c r="CD54" s="13">
        <f t="shared" si="93"/>
        <v>75</v>
      </c>
      <c r="CE54" s="13">
        <f t="shared" si="94"/>
        <v>78</v>
      </c>
      <c r="CF54" s="13">
        <f t="shared" si="95"/>
        <v>0</v>
      </c>
      <c r="CG54" s="13">
        <f t="shared" si="96"/>
        <v>0</v>
      </c>
      <c r="CH54" s="13">
        <f t="shared" si="97"/>
        <v>0</v>
      </c>
      <c r="CI54" s="13">
        <f t="shared" si="98"/>
        <v>0</v>
      </c>
      <c r="CJ54" s="13">
        <f t="shared" si="99"/>
        <v>0</v>
      </c>
      <c r="CK54" s="13">
        <f t="shared" si="100"/>
        <v>0</v>
      </c>
      <c r="CL54" s="13">
        <f t="shared" si="101"/>
        <v>0</v>
      </c>
      <c r="CM54" s="13">
        <f t="shared" si="102"/>
        <v>0</v>
      </c>
      <c r="CN54" s="13">
        <f t="shared" si="103"/>
        <v>0</v>
      </c>
      <c r="CO54" s="13">
        <f t="shared" si="104"/>
        <v>0</v>
      </c>
      <c r="CP54" s="13">
        <f t="shared" si="105"/>
        <v>0</v>
      </c>
      <c r="CQ54" s="13">
        <f t="shared" si="106"/>
        <v>0</v>
      </c>
      <c r="CR54" s="13">
        <f t="shared" si="107"/>
        <v>0</v>
      </c>
      <c r="CS54" s="13">
        <f t="shared" si="108"/>
        <v>0</v>
      </c>
      <c r="CT54" s="13">
        <f t="shared" si="109"/>
        <v>0</v>
      </c>
      <c r="CU54" s="13">
        <f t="shared" si="110"/>
        <v>0</v>
      </c>
      <c r="CV54" s="13">
        <f t="shared" si="111"/>
        <v>0</v>
      </c>
      <c r="CW54" s="13">
        <f>BR54</f>
        <v>78</v>
      </c>
      <c r="CX54" s="13">
        <f t="shared" ref="CX54:EA54" si="147">BS54-AM54</f>
        <v>0</v>
      </c>
      <c r="CY54" s="13">
        <f t="shared" si="147"/>
        <v>54</v>
      </c>
      <c r="CZ54" s="13">
        <f t="shared" si="147"/>
        <v>87</v>
      </c>
      <c r="DA54" s="13">
        <f t="shared" si="147"/>
        <v>56</v>
      </c>
      <c r="DB54" s="13">
        <f t="shared" si="147"/>
        <v>56</v>
      </c>
      <c r="DC54" s="13">
        <f t="shared" si="147"/>
        <v>20</v>
      </c>
      <c r="DD54" s="13">
        <f t="shared" si="147"/>
        <v>60</v>
      </c>
      <c r="DE54" s="13">
        <f t="shared" si="147"/>
        <v>20</v>
      </c>
      <c r="DF54" s="13">
        <f t="shared" si="147"/>
        <v>62</v>
      </c>
      <c r="DG54" s="13">
        <f t="shared" si="147"/>
        <v>63</v>
      </c>
      <c r="DH54" s="13">
        <f t="shared" si="147"/>
        <v>20</v>
      </c>
      <c r="DI54" s="13">
        <f t="shared" si="147"/>
        <v>75</v>
      </c>
      <c r="DJ54" s="13">
        <f t="shared" si="147"/>
        <v>78</v>
      </c>
      <c r="DK54" s="13">
        <f t="shared" si="147"/>
        <v>0</v>
      </c>
      <c r="DL54" s="13">
        <f t="shared" si="147"/>
        <v>0</v>
      </c>
      <c r="DM54" s="13">
        <f t="shared" si="147"/>
        <v>0</v>
      </c>
      <c r="DN54" s="13">
        <f t="shared" si="147"/>
        <v>0</v>
      </c>
      <c r="DO54" s="13">
        <f t="shared" si="147"/>
        <v>0</v>
      </c>
      <c r="DP54" s="13">
        <f t="shared" si="147"/>
        <v>0</v>
      </c>
      <c r="DQ54" s="13">
        <f t="shared" si="147"/>
        <v>0</v>
      </c>
      <c r="DR54" s="13">
        <f t="shared" si="147"/>
        <v>0</v>
      </c>
      <c r="DS54" s="13">
        <f t="shared" si="147"/>
        <v>0</v>
      </c>
      <c r="DT54" s="13">
        <f t="shared" si="147"/>
        <v>0</v>
      </c>
      <c r="DU54" s="13">
        <f t="shared" si="147"/>
        <v>0</v>
      </c>
      <c r="DV54" s="13">
        <f t="shared" si="147"/>
        <v>0</v>
      </c>
      <c r="DW54" s="13">
        <f t="shared" si="147"/>
        <v>0</v>
      </c>
      <c r="DX54" s="13">
        <f t="shared" si="147"/>
        <v>0</v>
      </c>
      <c r="DY54" s="13">
        <f t="shared" si="147"/>
        <v>0</v>
      </c>
      <c r="DZ54" s="13">
        <f t="shared" si="147"/>
        <v>0</v>
      </c>
      <c r="EA54" s="13">
        <f t="shared" si="147"/>
        <v>0</v>
      </c>
      <c r="EB54" s="13">
        <f t="shared" si="80"/>
        <v>729</v>
      </c>
      <c r="EC54" s="17">
        <f t="shared" si="117"/>
        <v>13</v>
      </c>
      <c r="ED54" s="17"/>
    </row>
    <row r="55" spans="1:134" s="5" customFormat="1" ht="30" x14ac:dyDescent="0.25">
      <c r="A55" s="16">
        <v>416</v>
      </c>
      <c r="B55" s="11" t="s">
        <v>349</v>
      </c>
      <c r="C55" s="74"/>
      <c r="D55" s="11" t="s">
        <v>326</v>
      </c>
      <c r="E55" s="12" t="s">
        <v>350</v>
      </c>
      <c r="F55" s="11" t="s">
        <v>102</v>
      </c>
      <c r="G55" s="16">
        <f t="shared" si="0"/>
        <v>4</v>
      </c>
      <c r="H55" s="23">
        <v>3.1365740740740742E-3</v>
      </c>
      <c r="I55" s="23"/>
      <c r="J55" s="23">
        <v>2.6967592592592594E-3</v>
      </c>
      <c r="K55" s="23">
        <v>1.7365740740740742E-3</v>
      </c>
      <c r="L55" s="23">
        <v>3.0312500000000005E-3</v>
      </c>
      <c r="M55" s="23">
        <v>1.6550925925925926E-3</v>
      </c>
      <c r="N55" s="23">
        <v>1.9212962962962962E-3</v>
      </c>
      <c r="O55" s="23">
        <v>1.0903935185185185E-3</v>
      </c>
      <c r="P55" s="23">
        <v>3.5920138888888894E-3</v>
      </c>
      <c r="Q55" s="23">
        <v>3.9236111111111112E-3</v>
      </c>
      <c r="R55" s="23">
        <v>1.5824074074074074E-3</v>
      </c>
      <c r="S55" s="23">
        <v>1.6087962962962963E-3</v>
      </c>
      <c r="T55" s="23">
        <v>2.0023148148148148E-3</v>
      </c>
      <c r="U55" s="23">
        <v>1.6806712962962964E-3</v>
      </c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13"/>
      <c r="AN55" s="13"/>
      <c r="AO55" s="13"/>
      <c r="AP55" s="13"/>
      <c r="AQ55" s="13"/>
      <c r="AR55" s="13"/>
      <c r="AS55" s="13"/>
      <c r="AT55" s="13">
        <v>10</v>
      </c>
      <c r="AU55" s="13"/>
      <c r="AV55" s="13">
        <v>10</v>
      </c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>
        <f t="shared" si="81"/>
        <v>81</v>
      </c>
      <c r="BS55" s="13">
        <f t="shared" si="82"/>
        <v>0</v>
      </c>
      <c r="BT55" s="13">
        <f t="shared" si="83"/>
        <v>95</v>
      </c>
      <c r="BU55" s="13">
        <f t="shared" si="84"/>
        <v>95</v>
      </c>
      <c r="BV55" s="13">
        <f t="shared" si="85"/>
        <v>63</v>
      </c>
      <c r="BW55" s="13">
        <f t="shared" si="86"/>
        <v>90</v>
      </c>
      <c r="BX55" s="13">
        <f t="shared" si="87"/>
        <v>84</v>
      </c>
      <c r="BY55" s="13">
        <f t="shared" si="88"/>
        <v>81</v>
      </c>
      <c r="BZ55" s="13">
        <f t="shared" si="89"/>
        <v>63</v>
      </c>
      <c r="CA55" s="13">
        <f t="shared" si="90"/>
        <v>78</v>
      </c>
      <c r="CB55" s="13">
        <f t="shared" si="91"/>
        <v>78</v>
      </c>
      <c r="CC55" s="13">
        <f t="shared" si="92"/>
        <v>87</v>
      </c>
      <c r="CD55" s="13">
        <f t="shared" si="93"/>
        <v>95</v>
      </c>
      <c r="CE55" s="13">
        <f t="shared" si="94"/>
        <v>95</v>
      </c>
      <c r="CF55" s="13">
        <f t="shared" si="95"/>
        <v>0</v>
      </c>
      <c r="CG55" s="13">
        <f t="shared" si="96"/>
        <v>0</v>
      </c>
      <c r="CH55" s="13">
        <f t="shared" si="97"/>
        <v>0</v>
      </c>
      <c r="CI55" s="13">
        <f t="shared" si="98"/>
        <v>0</v>
      </c>
      <c r="CJ55" s="13">
        <f t="shared" si="99"/>
        <v>0</v>
      </c>
      <c r="CK55" s="13">
        <f t="shared" si="100"/>
        <v>0</v>
      </c>
      <c r="CL55" s="13">
        <f t="shared" si="101"/>
        <v>0</v>
      </c>
      <c r="CM55" s="13">
        <f t="shared" si="102"/>
        <v>0</v>
      </c>
      <c r="CN55" s="13">
        <f t="shared" si="103"/>
        <v>0</v>
      </c>
      <c r="CO55" s="13">
        <f t="shared" si="104"/>
        <v>0</v>
      </c>
      <c r="CP55" s="13">
        <f t="shared" si="105"/>
        <v>0</v>
      </c>
      <c r="CQ55" s="13">
        <f t="shared" si="106"/>
        <v>0</v>
      </c>
      <c r="CR55" s="13">
        <f t="shared" si="107"/>
        <v>0</v>
      </c>
      <c r="CS55" s="13">
        <f t="shared" si="108"/>
        <v>0</v>
      </c>
      <c r="CT55" s="13">
        <f t="shared" si="109"/>
        <v>0</v>
      </c>
      <c r="CU55" s="13">
        <f t="shared" si="110"/>
        <v>0</v>
      </c>
      <c r="CV55" s="13">
        <f t="shared" si="111"/>
        <v>0</v>
      </c>
      <c r="CW55" s="13">
        <f t="shared" si="112"/>
        <v>81</v>
      </c>
      <c r="CX55" s="13">
        <f t="shared" si="113"/>
        <v>0</v>
      </c>
      <c r="CY55" s="13">
        <f t="shared" si="118"/>
        <v>95</v>
      </c>
      <c r="CZ55" s="13">
        <f t="shared" si="119"/>
        <v>95</v>
      </c>
      <c r="DA55" s="13">
        <f t="shared" si="120"/>
        <v>63</v>
      </c>
      <c r="DB55" s="13">
        <f t="shared" si="121"/>
        <v>90</v>
      </c>
      <c r="DC55" s="13">
        <f t="shared" si="122"/>
        <v>84</v>
      </c>
      <c r="DD55" s="13">
        <f t="shared" si="123"/>
        <v>81</v>
      </c>
      <c r="DE55" s="13">
        <f t="shared" si="124"/>
        <v>53</v>
      </c>
      <c r="DF55" s="13">
        <f t="shared" si="146"/>
        <v>78</v>
      </c>
      <c r="DG55" s="13">
        <f t="shared" si="125"/>
        <v>68</v>
      </c>
      <c r="DH55" s="13">
        <f t="shared" si="126"/>
        <v>87</v>
      </c>
      <c r="DI55" s="13">
        <f t="shared" si="127"/>
        <v>95</v>
      </c>
      <c r="DJ55" s="13">
        <f t="shared" si="128"/>
        <v>95</v>
      </c>
      <c r="DK55" s="13">
        <f t="shared" si="129"/>
        <v>0</v>
      </c>
      <c r="DL55" s="13">
        <f t="shared" si="130"/>
        <v>0</v>
      </c>
      <c r="DM55" s="13">
        <f t="shared" si="131"/>
        <v>0</v>
      </c>
      <c r="DN55" s="13">
        <f t="shared" si="132"/>
        <v>0</v>
      </c>
      <c r="DO55" s="13">
        <f t="shared" si="133"/>
        <v>0</v>
      </c>
      <c r="DP55" s="13">
        <f t="shared" si="134"/>
        <v>0</v>
      </c>
      <c r="DQ55" s="13">
        <f t="shared" si="135"/>
        <v>0</v>
      </c>
      <c r="DR55" s="13">
        <f t="shared" si="136"/>
        <v>0</v>
      </c>
      <c r="DS55" s="13">
        <f t="shared" si="137"/>
        <v>0</v>
      </c>
      <c r="DT55" s="13">
        <f t="shared" si="138"/>
        <v>0</v>
      </c>
      <c r="DU55" s="13">
        <f t="shared" si="139"/>
        <v>0</v>
      </c>
      <c r="DV55" s="13">
        <f t="shared" si="140"/>
        <v>0</v>
      </c>
      <c r="DW55" s="13">
        <f t="shared" si="141"/>
        <v>0</v>
      </c>
      <c r="DX55" s="13">
        <f t="shared" si="142"/>
        <v>0</v>
      </c>
      <c r="DY55" s="13">
        <f t="shared" si="143"/>
        <v>0</v>
      </c>
      <c r="DZ55" s="13">
        <f t="shared" si="144"/>
        <v>0</v>
      </c>
      <c r="EA55" s="13">
        <f t="shared" si="145"/>
        <v>0</v>
      </c>
      <c r="EB55" s="13">
        <f t="shared" si="80"/>
        <v>1065</v>
      </c>
      <c r="EC55" s="17">
        <f t="shared" si="117"/>
        <v>5</v>
      </c>
      <c r="ED55" s="17"/>
    </row>
    <row r="56" spans="1:134" s="5" customFormat="1" ht="30" x14ac:dyDescent="0.25">
      <c r="A56" s="16">
        <v>417</v>
      </c>
      <c r="B56" s="11" t="s">
        <v>353</v>
      </c>
      <c r="C56" s="74"/>
      <c r="D56" s="11" t="s">
        <v>263</v>
      </c>
      <c r="E56" s="12"/>
      <c r="F56" s="11" t="s">
        <v>102</v>
      </c>
      <c r="G56" s="16">
        <f t="shared" si="0"/>
        <v>4</v>
      </c>
      <c r="H56" s="23">
        <v>3.3101851851851851E-3</v>
      </c>
      <c r="I56" s="23"/>
      <c r="J56" s="23">
        <v>3.2523148148148151E-3</v>
      </c>
      <c r="K56" s="23">
        <v>2.5810185185185185E-3</v>
      </c>
      <c r="L56" s="23">
        <v>3.082407407407407E-3</v>
      </c>
      <c r="M56" s="23">
        <v>2.0949074074074073E-3</v>
      </c>
      <c r="N56" s="23">
        <v>2.5925925925925925E-3</v>
      </c>
      <c r="O56" s="23">
        <v>1.8883101851851854E-3</v>
      </c>
      <c r="P56" s="23">
        <v>2.3260416666666668E-3</v>
      </c>
      <c r="Q56" s="23">
        <v>7.1412037037037043E-3</v>
      </c>
      <c r="R56" s="23">
        <v>1.8402777777777777E-3</v>
      </c>
      <c r="S56" s="23">
        <v>2.3611111111111111E-3</v>
      </c>
      <c r="T56" s="23">
        <v>3.2638888888888891E-3</v>
      </c>
      <c r="U56" s="23">
        <v>2.92037037037037E-3</v>
      </c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13"/>
      <c r="AN56" s="13"/>
      <c r="AO56" s="13"/>
      <c r="AP56" s="13">
        <v>10</v>
      </c>
      <c r="AQ56" s="13"/>
      <c r="AR56" s="13"/>
      <c r="AS56" s="13"/>
      <c r="AT56" s="13"/>
      <c r="AU56" s="13">
        <v>50</v>
      </c>
      <c r="AV56" s="13">
        <v>30</v>
      </c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>
        <f t="shared" si="81"/>
        <v>66</v>
      </c>
      <c r="BS56" s="13">
        <f t="shared" si="82"/>
        <v>0</v>
      </c>
      <c r="BT56" s="13">
        <f t="shared" si="83"/>
        <v>69</v>
      </c>
      <c r="BU56" s="13">
        <f t="shared" si="84"/>
        <v>69</v>
      </c>
      <c r="BV56" s="13">
        <f t="shared" si="85"/>
        <v>60</v>
      </c>
      <c r="BW56" s="13">
        <f t="shared" si="86"/>
        <v>72</v>
      </c>
      <c r="BX56" s="13">
        <f t="shared" si="87"/>
        <v>72</v>
      </c>
      <c r="BY56" s="13">
        <f t="shared" si="88"/>
        <v>63</v>
      </c>
      <c r="BZ56" s="13">
        <f t="shared" si="89"/>
        <v>84</v>
      </c>
      <c r="CA56" s="13">
        <f t="shared" si="90"/>
        <v>56</v>
      </c>
      <c r="CB56" s="13">
        <f t="shared" si="91"/>
        <v>66</v>
      </c>
      <c r="CC56" s="13">
        <f t="shared" si="92"/>
        <v>66</v>
      </c>
      <c r="CD56" s="13">
        <f t="shared" si="93"/>
        <v>58</v>
      </c>
      <c r="CE56" s="13">
        <f t="shared" si="94"/>
        <v>58</v>
      </c>
      <c r="CF56" s="13">
        <f t="shared" si="95"/>
        <v>0</v>
      </c>
      <c r="CG56" s="13">
        <f t="shared" si="96"/>
        <v>0</v>
      </c>
      <c r="CH56" s="13">
        <f t="shared" si="97"/>
        <v>0</v>
      </c>
      <c r="CI56" s="13">
        <f t="shared" si="98"/>
        <v>0</v>
      </c>
      <c r="CJ56" s="13">
        <f t="shared" si="99"/>
        <v>0</v>
      </c>
      <c r="CK56" s="13">
        <f t="shared" si="100"/>
        <v>0</v>
      </c>
      <c r="CL56" s="13">
        <f t="shared" si="101"/>
        <v>0</v>
      </c>
      <c r="CM56" s="13">
        <f t="shared" si="102"/>
        <v>0</v>
      </c>
      <c r="CN56" s="13">
        <f t="shared" si="103"/>
        <v>0</v>
      </c>
      <c r="CO56" s="13">
        <f t="shared" si="104"/>
        <v>0</v>
      </c>
      <c r="CP56" s="13">
        <f t="shared" si="105"/>
        <v>0</v>
      </c>
      <c r="CQ56" s="13">
        <f t="shared" si="106"/>
        <v>0</v>
      </c>
      <c r="CR56" s="13">
        <f t="shared" si="107"/>
        <v>0</v>
      </c>
      <c r="CS56" s="13">
        <f t="shared" si="108"/>
        <v>0</v>
      </c>
      <c r="CT56" s="13">
        <f t="shared" si="109"/>
        <v>0</v>
      </c>
      <c r="CU56" s="13">
        <f t="shared" si="110"/>
        <v>0</v>
      </c>
      <c r="CV56" s="13">
        <f t="shared" si="111"/>
        <v>0</v>
      </c>
      <c r="CW56" s="13">
        <f t="shared" si="112"/>
        <v>66</v>
      </c>
      <c r="CX56" s="13">
        <f t="shared" si="113"/>
        <v>0</v>
      </c>
      <c r="CY56" s="13">
        <f t="shared" si="118"/>
        <v>69</v>
      </c>
      <c r="CZ56" s="13">
        <f t="shared" si="119"/>
        <v>69</v>
      </c>
      <c r="DA56" s="13">
        <f t="shared" si="120"/>
        <v>50</v>
      </c>
      <c r="DB56" s="13">
        <f t="shared" si="121"/>
        <v>72</v>
      </c>
      <c r="DC56" s="13">
        <f t="shared" si="122"/>
        <v>72</v>
      </c>
      <c r="DD56" s="13">
        <f t="shared" si="123"/>
        <v>63</v>
      </c>
      <c r="DE56" s="13">
        <f t="shared" si="124"/>
        <v>84</v>
      </c>
      <c r="DF56" s="13">
        <f t="shared" si="146"/>
        <v>6</v>
      </c>
      <c r="DG56" s="13">
        <f t="shared" si="125"/>
        <v>36</v>
      </c>
      <c r="DH56" s="13">
        <f t="shared" si="126"/>
        <v>66</v>
      </c>
      <c r="DI56" s="13">
        <f t="shared" si="127"/>
        <v>58</v>
      </c>
      <c r="DJ56" s="13">
        <f t="shared" si="128"/>
        <v>58</v>
      </c>
      <c r="DK56" s="13">
        <f t="shared" si="129"/>
        <v>0</v>
      </c>
      <c r="DL56" s="13">
        <f t="shared" si="130"/>
        <v>0</v>
      </c>
      <c r="DM56" s="13">
        <f t="shared" si="131"/>
        <v>0</v>
      </c>
      <c r="DN56" s="13">
        <f t="shared" si="132"/>
        <v>0</v>
      </c>
      <c r="DO56" s="13">
        <f t="shared" si="133"/>
        <v>0</v>
      </c>
      <c r="DP56" s="13">
        <f t="shared" si="134"/>
        <v>0</v>
      </c>
      <c r="DQ56" s="13">
        <f t="shared" si="135"/>
        <v>0</v>
      </c>
      <c r="DR56" s="13">
        <f t="shared" si="136"/>
        <v>0</v>
      </c>
      <c r="DS56" s="13">
        <f t="shared" si="137"/>
        <v>0</v>
      </c>
      <c r="DT56" s="13">
        <f t="shared" si="138"/>
        <v>0</v>
      </c>
      <c r="DU56" s="13">
        <f t="shared" si="139"/>
        <v>0</v>
      </c>
      <c r="DV56" s="13">
        <f t="shared" si="140"/>
        <v>0</v>
      </c>
      <c r="DW56" s="13">
        <f t="shared" si="141"/>
        <v>0</v>
      </c>
      <c r="DX56" s="13">
        <f t="shared" si="142"/>
        <v>0</v>
      </c>
      <c r="DY56" s="13">
        <f t="shared" si="143"/>
        <v>0</v>
      </c>
      <c r="DZ56" s="13">
        <f t="shared" si="144"/>
        <v>0</v>
      </c>
      <c r="EA56" s="13">
        <f t="shared" si="145"/>
        <v>0</v>
      </c>
      <c r="EB56" s="13">
        <f t="shared" si="80"/>
        <v>769</v>
      </c>
      <c r="EC56" s="17">
        <f t="shared" si="117"/>
        <v>12</v>
      </c>
      <c r="ED56" s="17"/>
    </row>
    <row r="57" spans="1:134" s="5" customFormat="1" ht="30" x14ac:dyDescent="0.25">
      <c r="A57" s="16">
        <v>418</v>
      </c>
      <c r="B57" s="11" t="s">
        <v>354</v>
      </c>
      <c r="C57" s="74"/>
      <c r="D57" s="11" t="s">
        <v>355</v>
      </c>
      <c r="E57" s="12"/>
      <c r="F57" s="11" t="s">
        <v>102</v>
      </c>
      <c r="G57" s="16">
        <f>VLOOKUP(F57,Class,2,FALSE)</f>
        <v>4</v>
      </c>
      <c r="H57" s="23">
        <v>3.0208333333333333E-3</v>
      </c>
      <c r="I57" s="23"/>
      <c r="J57" s="23">
        <v>3.530092592592592E-3</v>
      </c>
      <c r="K57" s="23">
        <v>2.0399305555555557E-3</v>
      </c>
      <c r="L57" s="23">
        <v>2.0486111111111113E-3</v>
      </c>
      <c r="M57" s="23">
        <v>1.8634259259259261E-3</v>
      </c>
      <c r="N57" s="23">
        <v>4.0046296296296297E-3</v>
      </c>
      <c r="O57" s="23">
        <v>2.0702546296296298E-3</v>
      </c>
      <c r="P57" s="23">
        <v>4.9579861111111109E-3</v>
      </c>
      <c r="Q57" s="23">
        <v>4.0277777777777777E-3</v>
      </c>
      <c r="R57" s="23">
        <v>1.6087962962962963E-3</v>
      </c>
      <c r="S57" s="23">
        <v>1.8402777777777777E-3</v>
      </c>
      <c r="T57" s="23">
        <v>2.6388888888888885E-3</v>
      </c>
      <c r="U57" s="23">
        <v>2.7195601851851855E-3</v>
      </c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>
        <f t="shared" si="81"/>
        <v>84</v>
      </c>
      <c r="BS57" s="13">
        <f t="shared" si="82"/>
        <v>0</v>
      </c>
      <c r="BT57" s="13">
        <f t="shared" si="83"/>
        <v>66</v>
      </c>
      <c r="BU57" s="13">
        <f t="shared" si="84"/>
        <v>81</v>
      </c>
      <c r="BV57" s="13">
        <f t="shared" si="85"/>
        <v>84</v>
      </c>
      <c r="BW57" s="13">
        <f t="shared" si="86"/>
        <v>78</v>
      </c>
      <c r="BX57" s="13">
        <f t="shared" si="87"/>
        <v>63</v>
      </c>
      <c r="BY57" s="13">
        <f t="shared" si="88"/>
        <v>58</v>
      </c>
      <c r="BZ57" s="13">
        <f t="shared" si="89"/>
        <v>60</v>
      </c>
      <c r="CA57" s="13">
        <f t="shared" si="90"/>
        <v>75</v>
      </c>
      <c r="CB57" s="13">
        <f t="shared" si="91"/>
        <v>75</v>
      </c>
      <c r="CC57" s="13">
        <f t="shared" si="92"/>
        <v>75</v>
      </c>
      <c r="CD57" s="13">
        <f t="shared" si="93"/>
        <v>69</v>
      </c>
      <c r="CE57" s="13">
        <f t="shared" si="94"/>
        <v>63</v>
      </c>
      <c r="CF57" s="13">
        <f t="shared" si="95"/>
        <v>0</v>
      </c>
      <c r="CG57" s="13">
        <f t="shared" si="96"/>
        <v>0</v>
      </c>
      <c r="CH57" s="13">
        <f t="shared" si="97"/>
        <v>0</v>
      </c>
      <c r="CI57" s="13">
        <f t="shared" si="98"/>
        <v>0</v>
      </c>
      <c r="CJ57" s="13">
        <f t="shared" si="99"/>
        <v>0</v>
      </c>
      <c r="CK57" s="13">
        <f t="shared" si="100"/>
        <v>0</v>
      </c>
      <c r="CL57" s="13">
        <f t="shared" si="101"/>
        <v>0</v>
      </c>
      <c r="CM57" s="13">
        <f t="shared" si="102"/>
        <v>0</v>
      </c>
      <c r="CN57" s="13">
        <f t="shared" si="103"/>
        <v>0</v>
      </c>
      <c r="CO57" s="13">
        <f t="shared" si="104"/>
        <v>0</v>
      </c>
      <c r="CP57" s="13">
        <f t="shared" si="105"/>
        <v>0</v>
      </c>
      <c r="CQ57" s="13">
        <f t="shared" si="106"/>
        <v>0</v>
      </c>
      <c r="CR57" s="13">
        <f t="shared" si="107"/>
        <v>0</v>
      </c>
      <c r="CS57" s="13">
        <f t="shared" si="108"/>
        <v>0</v>
      </c>
      <c r="CT57" s="13">
        <f t="shared" si="109"/>
        <v>0</v>
      </c>
      <c r="CU57" s="13">
        <f t="shared" si="110"/>
        <v>0</v>
      </c>
      <c r="CV57" s="13">
        <f t="shared" si="111"/>
        <v>0</v>
      </c>
      <c r="CW57" s="13">
        <f t="shared" si="112"/>
        <v>84</v>
      </c>
      <c r="CX57" s="13">
        <f t="shared" si="113"/>
        <v>0</v>
      </c>
      <c r="CY57" s="13">
        <f t="shared" si="118"/>
        <v>66</v>
      </c>
      <c r="CZ57" s="13">
        <f t="shared" si="119"/>
        <v>81</v>
      </c>
      <c r="DA57" s="13">
        <f t="shared" si="120"/>
        <v>84</v>
      </c>
      <c r="DB57" s="13">
        <f t="shared" si="121"/>
        <v>78</v>
      </c>
      <c r="DC57" s="13">
        <f t="shared" si="122"/>
        <v>63</v>
      </c>
      <c r="DD57" s="13">
        <f t="shared" si="123"/>
        <v>58</v>
      </c>
      <c r="DE57" s="13">
        <f t="shared" si="124"/>
        <v>60</v>
      </c>
      <c r="DF57" s="13">
        <f t="shared" si="146"/>
        <v>75</v>
      </c>
      <c r="DG57" s="13">
        <f t="shared" si="125"/>
        <v>75</v>
      </c>
      <c r="DH57" s="13">
        <f t="shared" si="126"/>
        <v>75</v>
      </c>
      <c r="DI57" s="13">
        <f t="shared" si="127"/>
        <v>69</v>
      </c>
      <c r="DJ57" s="13">
        <f t="shared" si="128"/>
        <v>63</v>
      </c>
      <c r="DK57" s="13">
        <f t="shared" si="129"/>
        <v>0</v>
      </c>
      <c r="DL57" s="13">
        <f t="shared" si="130"/>
        <v>0</v>
      </c>
      <c r="DM57" s="13">
        <f t="shared" si="131"/>
        <v>0</v>
      </c>
      <c r="DN57" s="13">
        <f t="shared" si="132"/>
        <v>0</v>
      </c>
      <c r="DO57" s="13">
        <f t="shared" si="133"/>
        <v>0</v>
      </c>
      <c r="DP57" s="13">
        <f t="shared" si="134"/>
        <v>0</v>
      </c>
      <c r="DQ57" s="13">
        <f t="shared" si="135"/>
        <v>0</v>
      </c>
      <c r="DR57" s="13">
        <f t="shared" si="136"/>
        <v>0</v>
      </c>
      <c r="DS57" s="13">
        <f t="shared" si="137"/>
        <v>0</v>
      </c>
      <c r="DT57" s="13">
        <f t="shared" si="138"/>
        <v>0</v>
      </c>
      <c r="DU57" s="13">
        <f t="shared" si="139"/>
        <v>0</v>
      </c>
      <c r="DV57" s="13">
        <f t="shared" si="140"/>
        <v>0</v>
      </c>
      <c r="DW57" s="13">
        <f t="shared" si="141"/>
        <v>0</v>
      </c>
      <c r="DX57" s="13">
        <f t="shared" si="142"/>
        <v>0</v>
      </c>
      <c r="DY57" s="13">
        <f t="shared" si="143"/>
        <v>0</v>
      </c>
      <c r="DZ57" s="13">
        <f t="shared" si="144"/>
        <v>0</v>
      </c>
      <c r="EA57" s="13">
        <f t="shared" si="145"/>
        <v>0</v>
      </c>
      <c r="EB57" s="13">
        <f t="shared" si="80"/>
        <v>931</v>
      </c>
      <c r="EC57" s="17">
        <f t="shared" si="117"/>
        <v>7</v>
      </c>
      <c r="ED57" s="17"/>
    </row>
    <row r="58" spans="1:134" x14ac:dyDescent="0.25">
      <c r="A58" s="10"/>
      <c r="B58" s="14"/>
      <c r="C58" s="14"/>
      <c r="D58" s="14"/>
      <c r="E58" s="12"/>
      <c r="F58" s="11"/>
      <c r="G58" s="10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3"/>
      <c r="CX58" s="13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7"/>
      <c r="ED58" s="17"/>
    </row>
    <row r="60" spans="1:134" x14ac:dyDescent="0.25">
      <c r="F60" s="4" t="s">
        <v>104</v>
      </c>
      <c r="EC60" s="2"/>
      <c r="ED60" s="2"/>
    </row>
    <row r="61" spans="1:134" x14ac:dyDescent="0.25">
      <c r="B61" t="s">
        <v>211</v>
      </c>
      <c r="C61" s="53">
        <v>0.91666666666666663</v>
      </c>
      <c r="F61" s="24" t="s">
        <v>97</v>
      </c>
      <c r="G61" s="1">
        <v>1</v>
      </c>
      <c r="EC61" s="2"/>
      <c r="ED61" s="2"/>
    </row>
    <row r="62" spans="1:134" x14ac:dyDescent="0.25">
      <c r="F62" s="24" t="s">
        <v>98</v>
      </c>
      <c r="G62" s="1">
        <v>2</v>
      </c>
      <c r="EC62" s="2"/>
      <c r="ED62" s="2"/>
    </row>
    <row r="63" spans="1:134" x14ac:dyDescent="0.25">
      <c r="F63" s="24" t="s">
        <v>99</v>
      </c>
      <c r="G63" s="1">
        <v>3</v>
      </c>
      <c r="EC63" s="2"/>
      <c r="ED63" s="2"/>
    </row>
    <row r="64" spans="1:134" x14ac:dyDescent="0.25">
      <c r="F64" s="24" t="s">
        <v>102</v>
      </c>
      <c r="G64" s="1">
        <v>4</v>
      </c>
      <c r="EC64" s="2"/>
      <c r="ED64" s="2"/>
    </row>
    <row r="65" spans="1:134" x14ac:dyDescent="0.25">
      <c r="F65" s="4"/>
      <c r="EC65" s="2"/>
      <c r="ED65" s="2"/>
    </row>
    <row r="66" spans="1:134" x14ac:dyDescent="0.25">
      <c r="B66" t="s">
        <v>105</v>
      </c>
      <c r="F66" s="4"/>
      <c r="EC66" s="2"/>
      <c r="ED66" s="2"/>
    </row>
    <row r="67" spans="1:134" x14ac:dyDescent="0.25">
      <c r="B67" t="s">
        <v>202</v>
      </c>
    </row>
    <row r="68" spans="1:134" x14ac:dyDescent="0.25">
      <c r="B68" t="s">
        <v>109</v>
      </c>
    </row>
    <row r="69" spans="1:134" x14ac:dyDescent="0.25">
      <c r="B69" t="s">
        <v>106</v>
      </c>
    </row>
    <row r="70" spans="1:134" x14ac:dyDescent="0.25">
      <c r="B70" t="s">
        <v>107</v>
      </c>
    </row>
    <row r="71" spans="1:134" x14ac:dyDescent="0.25">
      <c r="B71" t="s">
        <v>108</v>
      </c>
    </row>
    <row r="72" spans="1:134" x14ac:dyDescent="0.25">
      <c r="B72" t="s">
        <v>159</v>
      </c>
    </row>
    <row r="73" spans="1:134" x14ac:dyDescent="0.25">
      <c r="B73" s="42">
        <v>43358</v>
      </c>
    </row>
    <row r="74" spans="1:134" s="20" customFormat="1" x14ac:dyDescent="0.25">
      <c r="A74" s="2"/>
      <c r="E74" s="4"/>
      <c r="G74" s="1"/>
      <c r="H74" s="52"/>
      <c r="BR74" s="52"/>
      <c r="CW74" s="52"/>
      <c r="EC74" s="1"/>
      <c r="ED74" s="1"/>
    </row>
    <row r="75" spans="1:134" x14ac:dyDescent="0.25">
      <c r="B75" t="s">
        <v>120</v>
      </c>
    </row>
    <row r="76" spans="1:134" x14ac:dyDescent="0.25">
      <c r="B76" s="18" t="s">
        <v>115</v>
      </c>
      <c r="C76" s="11" t="s">
        <v>113</v>
      </c>
      <c r="E76" s="4" t="s">
        <v>223</v>
      </c>
      <c r="F76" t="s">
        <v>224</v>
      </c>
    </row>
    <row r="77" spans="1:134" x14ac:dyDescent="0.25">
      <c r="B77" s="11">
        <v>1</v>
      </c>
      <c r="C77" s="11">
        <v>100</v>
      </c>
      <c r="E77" s="4" t="s">
        <v>171</v>
      </c>
      <c r="F77" s="4" t="s">
        <v>171</v>
      </c>
    </row>
    <row r="78" spans="1:134" x14ac:dyDescent="0.25">
      <c r="B78" s="11">
        <v>2</v>
      </c>
      <c r="C78" s="11">
        <v>95</v>
      </c>
      <c r="E78" s="4" t="s">
        <v>172</v>
      </c>
      <c r="F78" s="4" t="s">
        <v>172</v>
      </c>
    </row>
    <row r="79" spans="1:134" x14ac:dyDescent="0.25">
      <c r="B79" s="11">
        <v>3</v>
      </c>
      <c r="C79" s="11">
        <v>90</v>
      </c>
      <c r="E79" s="4" t="s">
        <v>173</v>
      </c>
      <c r="F79" s="4" t="s">
        <v>173</v>
      </c>
    </row>
    <row r="80" spans="1:134" x14ac:dyDescent="0.25">
      <c r="B80" s="11">
        <v>4</v>
      </c>
      <c r="C80" s="11">
        <v>87</v>
      </c>
      <c r="E80" s="4" t="s">
        <v>174</v>
      </c>
      <c r="F80" s="4" t="s">
        <v>174</v>
      </c>
    </row>
    <row r="81" spans="2:6" x14ac:dyDescent="0.25">
      <c r="B81" s="11">
        <v>5</v>
      </c>
      <c r="C81" s="11">
        <v>84</v>
      </c>
      <c r="E81" s="4" t="s">
        <v>175</v>
      </c>
      <c r="F81" s="4" t="s">
        <v>175</v>
      </c>
    </row>
    <row r="82" spans="2:6" x14ac:dyDescent="0.25">
      <c r="B82" s="11">
        <v>6</v>
      </c>
      <c r="C82" s="11">
        <v>81</v>
      </c>
      <c r="E82" s="4" t="s">
        <v>176</v>
      </c>
      <c r="F82" s="4" t="s">
        <v>176</v>
      </c>
    </row>
    <row r="83" spans="2:6" x14ac:dyDescent="0.25">
      <c r="B83" s="11">
        <v>7</v>
      </c>
      <c r="C83" s="11">
        <v>78</v>
      </c>
      <c r="E83" s="4" t="s">
        <v>177</v>
      </c>
      <c r="F83" s="4" t="s">
        <v>177</v>
      </c>
    </row>
    <row r="84" spans="2:6" x14ac:dyDescent="0.25">
      <c r="B84" s="11">
        <v>8</v>
      </c>
      <c r="C84" s="11">
        <v>75</v>
      </c>
      <c r="E84" s="4" t="s">
        <v>178</v>
      </c>
      <c r="F84" s="4" t="s">
        <v>178</v>
      </c>
    </row>
    <row r="85" spans="2:6" x14ac:dyDescent="0.25">
      <c r="B85" s="11">
        <v>9</v>
      </c>
      <c r="C85" s="11">
        <v>72</v>
      </c>
      <c r="E85" s="4" t="s">
        <v>179</v>
      </c>
      <c r="F85" s="4" t="s">
        <v>179</v>
      </c>
    </row>
    <row r="86" spans="2:6" x14ac:dyDescent="0.25">
      <c r="B86" s="11">
        <v>10</v>
      </c>
      <c r="C86" s="11">
        <v>69</v>
      </c>
      <c r="E86" s="4" t="s">
        <v>180</v>
      </c>
      <c r="F86" s="4" t="s">
        <v>180</v>
      </c>
    </row>
    <row r="87" spans="2:6" x14ac:dyDescent="0.25">
      <c r="B87" s="11">
        <v>11</v>
      </c>
      <c r="C87" s="11">
        <v>66</v>
      </c>
      <c r="E87" s="4" t="s">
        <v>181</v>
      </c>
      <c r="F87" s="4" t="s">
        <v>181</v>
      </c>
    </row>
    <row r="88" spans="2:6" x14ac:dyDescent="0.25">
      <c r="B88" s="11">
        <v>12</v>
      </c>
      <c r="C88" s="11">
        <v>63</v>
      </c>
      <c r="E88" s="4" t="s">
        <v>182</v>
      </c>
      <c r="F88" s="4" t="s">
        <v>182</v>
      </c>
    </row>
    <row r="89" spans="2:6" x14ac:dyDescent="0.25">
      <c r="B89" s="11">
        <v>13</v>
      </c>
      <c r="C89" s="11">
        <v>60</v>
      </c>
      <c r="E89" s="4" t="s">
        <v>183</v>
      </c>
      <c r="F89" s="4" t="s">
        <v>183</v>
      </c>
    </row>
    <row r="90" spans="2:6" x14ac:dyDescent="0.25">
      <c r="B90" s="11">
        <v>14</v>
      </c>
      <c r="C90" s="11">
        <v>58</v>
      </c>
      <c r="E90" s="4" t="s">
        <v>184</v>
      </c>
      <c r="F90" s="4" t="s">
        <v>184</v>
      </c>
    </row>
    <row r="91" spans="2:6" x14ac:dyDescent="0.25">
      <c r="B91" s="11">
        <v>15</v>
      </c>
      <c r="C91" s="11">
        <v>56</v>
      </c>
      <c r="E91" s="4" t="s">
        <v>185</v>
      </c>
      <c r="F91" s="4" t="s">
        <v>185</v>
      </c>
    </row>
    <row r="92" spans="2:6" x14ac:dyDescent="0.25">
      <c r="B92" s="11">
        <v>16</v>
      </c>
      <c r="C92" s="11">
        <v>54</v>
      </c>
      <c r="E92" s="4" t="s">
        <v>168</v>
      </c>
      <c r="F92" s="4" t="s">
        <v>168</v>
      </c>
    </row>
    <row r="93" spans="2:6" x14ac:dyDescent="0.25">
      <c r="B93" s="11">
        <v>17</v>
      </c>
      <c r="C93" s="11">
        <v>52</v>
      </c>
      <c r="E93" s="4" t="s">
        <v>169</v>
      </c>
      <c r="F93" s="4" t="s">
        <v>169</v>
      </c>
    </row>
    <row r="94" spans="2:6" x14ac:dyDescent="0.25">
      <c r="B94" s="11">
        <v>18</v>
      </c>
      <c r="C94" s="11">
        <v>50</v>
      </c>
      <c r="E94" s="4" t="s">
        <v>170</v>
      </c>
      <c r="F94" s="4" t="s">
        <v>170</v>
      </c>
    </row>
    <row r="95" spans="2:6" x14ac:dyDescent="0.25">
      <c r="B95" s="11">
        <v>19</v>
      </c>
      <c r="C95" s="11">
        <v>48</v>
      </c>
      <c r="E95" s="4" t="s">
        <v>186</v>
      </c>
      <c r="F95" s="4" t="s">
        <v>186</v>
      </c>
    </row>
    <row r="96" spans="2:6" x14ac:dyDescent="0.25">
      <c r="B96" s="11">
        <v>20</v>
      </c>
      <c r="C96" s="11">
        <v>46</v>
      </c>
      <c r="E96" s="4" t="s">
        <v>187</v>
      </c>
      <c r="F96" s="4" t="s">
        <v>187</v>
      </c>
    </row>
    <row r="97" spans="2:6" x14ac:dyDescent="0.25">
      <c r="B97" s="11">
        <v>21</v>
      </c>
      <c r="C97" s="11">
        <v>45</v>
      </c>
      <c r="E97" s="4" t="s">
        <v>188</v>
      </c>
      <c r="F97" s="4" t="s">
        <v>188</v>
      </c>
    </row>
    <row r="98" spans="2:6" x14ac:dyDescent="0.25">
      <c r="B98" s="11">
        <v>22</v>
      </c>
      <c r="C98" s="11">
        <v>44</v>
      </c>
      <c r="E98" s="4" t="s">
        <v>189</v>
      </c>
      <c r="F98" s="4" t="s">
        <v>189</v>
      </c>
    </row>
    <row r="99" spans="2:6" x14ac:dyDescent="0.25">
      <c r="B99" s="11">
        <v>23</v>
      </c>
      <c r="C99" s="11">
        <v>43</v>
      </c>
      <c r="E99" s="4" t="s">
        <v>190</v>
      </c>
      <c r="F99" s="4" t="s">
        <v>190</v>
      </c>
    </row>
    <row r="100" spans="2:6" x14ac:dyDescent="0.25">
      <c r="B100" s="11">
        <v>24</v>
      </c>
      <c r="C100" s="11">
        <v>42</v>
      </c>
      <c r="E100" s="4" t="s">
        <v>191</v>
      </c>
      <c r="F100" s="4" t="s">
        <v>191</v>
      </c>
    </row>
    <row r="101" spans="2:6" x14ac:dyDescent="0.25">
      <c r="B101" s="11">
        <v>25</v>
      </c>
      <c r="C101" s="11">
        <v>41</v>
      </c>
      <c r="E101" s="4" t="s">
        <v>192</v>
      </c>
      <c r="F101" s="4" t="s">
        <v>192</v>
      </c>
    </row>
    <row r="102" spans="2:6" x14ac:dyDescent="0.25">
      <c r="B102" s="11">
        <v>26</v>
      </c>
      <c r="C102" s="11">
        <v>40</v>
      </c>
      <c r="E102" s="4" t="s">
        <v>193</v>
      </c>
      <c r="F102" s="4" t="s">
        <v>193</v>
      </c>
    </row>
    <row r="103" spans="2:6" x14ac:dyDescent="0.25">
      <c r="B103" s="11">
        <v>27</v>
      </c>
      <c r="C103" s="11">
        <v>39</v>
      </c>
      <c r="E103" s="4" t="s">
        <v>194</v>
      </c>
      <c r="F103" s="4" t="s">
        <v>194</v>
      </c>
    </row>
    <row r="104" spans="2:6" x14ac:dyDescent="0.25">
      <c r="B104" s="11">
        <v>28</v>
      </c>
      <c r="C104" s="11">
        <v>38</v>
      </c>
      <c r="E104" s="4" t="s">
        <v>195</v>
      </c>
      <c r="F104" s="4" t="s">
        <v>195</v>
      </c>
    </row>
    <row r="105" spans="2:6" x14ac:dyDescent="0.25">
      <c r="B105" s="11">
        <v>29</v>
      </c>
      <c r="C105" s="11">
        <v>37</v>
      </c>
      <c r="E105" s="4" t="s">
        <v>196</v>
      </c>
      <c r="F105" s="4" t="s">
        <v>196</v>
      </c>
    </row>
    <row r="106" spans="2:6" x14ac:dyDescent="0.25">
      <c r="B106" s="11">
        <v>30</v>
      </c>
      <c r="C106" s="11">
        <v>36</v>
      </c>
      <c r="E106" s="4" t="s">
        <v>197</v>
      </c>
      <c r="F106" s="4" t="s">
        <v>197</v>
      </c>
    </row>
    <row r="107" spans="2:6" x14ac:dyDescent="0.25">
      <c r="B107" s="11">
        <v>31</v>
      </c>
      <c r="C107" s="11">
        <v>35</v>
      </c>
    </row>
    <row r="108" spans="2:6" x14ac:dyDescent="0.25">
      <c r="B108" s="11">
        <v>32</v>
      </c>
      <c r="C108" s="11">
        <v>34</v>
      </c>
    </row>
    <row r="109" spans="2:6" x14ac:dyDescent="0.25">
      <c r="B109" s="11">
        <v>33</v>
      </c>
      <c r="C109" s="11">
        <v>33</v>
      </c>
    </row>
    <row r="110" spans="2:6" x14ac:dyDescent="0.25">
      <c r="B110" s="11">
        <v>34</v>
      </c>
      <c r="C110" s="11">
        <v>32</v>
      </c>
    </row>
    <row r="111" spans="2:6" x14ac:dyDescent="0.25">
      <c r="B111" s="11">
        <v>35</v>
      </c>
      <c r="C111" s="11">
        <v>31</v>
      </c>
    </row>
    <row r="112" spans="2:6" x14ac:dyDescent="0.25">
      <c r="B112" s="11">
        <v>36</v>
      </c>
      <c r="C112" s="11">
        <v>30</v>
      </c>
    </row>
    <row r="113" spans="2:4" x14ac:dyDescent="0.25">
      <c r="B113" s="11">
        <v>37</v>
      </c>
      <c r="C113" s="11">
        <v>29</v>
      </c>
    </row>
    <row r="114" spans="2:4" x14ac:dyDescent="0.25">
      <c r="B114" s="11">
        <v>38</v>
      </c>
      <c r="C114" s="11">
        <v>28</v>
      </c>
    </row>
    <row r="115" spans="2:4" x14ac:dyDescent="0.25">
      <c r="B115" s="11">
        <v>39</v>
      </c>
      <c r="C115" s="11">
        <v>27</v>
      </c>
    </row>
    <row r="116" spans="2:4" x14ac:dyDescent="0.25">
      <c r="B116" s="11">
        <v>40</v>
      </c>
      <c r="C116" s="11">
        <v>26</v>
      </c>
    </row>
    <row r="117" spans="2:4" x14ac:dyDescent="0.25">
      <c r="B117" s="18" t="s">
        <v>116</v>
      </c>
      <c r="C117" s="11">
        <v>20</v>
      </c>
      <c r="D117" t="s">
        <v>118</v>
      </c>
    </row>
    <row r="118" spans="2:4" x14ac:dyDescent="0.25">
      <c r="B118" s="18" t="s">
        <v>117</v>
      </c>
      <c r="C118" s="11">
        <v>0</v>
      </c>
      <c r="D118" t="s">
        <v>119</v>
      </c>
    </row>
  </sheetData>
  <conditionalFormatting sqref="F18:F38 F55:F58 F3:F16 F40:F53">
    <cfRule type="expression" dxfId="35" priority="33">
      <formula>$F3="SSV"</formula>
    </cfRule>
    <cfRule type="expression" dxfId="34" priority="38">
      <formula>$F3="Light"</formula>
    </cfRule>
    <cfRule type="expression" dxfId="33" priority="39">
      <formula>$F3="Medium"</formula>
    </cfRule>
    <cfRule type="expression" dxfId="32" priority="40">
      <formula>$F3="Hard"</formula>
    </cfRule>
    <cfRule type="expression" dxfId="31" priority="41">
      <formula>$F3="ATV"</formula>
    </cfRule>
  </conditionalFormatting>
  <conditionalFormatting sqref="EC55:EC58 EC3:EC16 EC18:EC53">
    <cfRule type="expression" dxfId="30" priority="34">
      <formula>$F3="Light"</formula>
    </cfRule>
    <cfRule type="expression" dxfId="29" priority="35">
      <formula>$F3="Medium"</formula>
    </cfRule>
    <cfRule type="expression" dxfId="28" priority="36">
      <formula>$F3="Hard"</formula>
    </cfRule>
    <cfRule type="expression" dxfId="27" priority="37">
      <formula>$F3="ATV"</formula>
    </cfRule>
  </conditionalFormatting>
  <conditionalFormatting sqref="F17">
    <cfRule type="expression" dxfId="26" priority="24">
      <formula>$F17="SSV"</formula>
    </cfRule>
    <cfRule type="expression" dxfId="25" priority="29">
      <formula>$F17="Light"</formula>
    </cfRule>
    <cfRule type="expression" dxfId="24" priority="30">
      <formula>$F17="Medium"</formula>
    </cfRule>
    <cfRule type="expression" dxfId="23" priority="31">
      <formula>$F17="Hard"</formula>
    </cfRule>
    <cfRule type="expression" dxfId="22" priority="32">
      <formula>$F17="ATV"</formula>
    </cfRule>
  </conditionalFormatting>
  <conditionalFormatting sqref="EC17">
    <cfRule type="expression" dxfId="21" priority="25">
      <formula>$F17="Light"</formula>
    </cfRule>
    <cfRule type="expression" dxfId="20" priority="26">
      <formula>$F17="Medium"</formula>
    </cfRule>
    <cfRule type="expression" dxfId="19" priority="27">
      <formula>$F17="Hard"</formula>
    </cfRule>
    <cfRule type="expression" dxfId="18" priority="28">
      <formula>$F17="ATV"</formula>
    </cfRule>
  </conditionalFormatting>
  <conditionalFormatting sqref="F39">
    <cfRule type="expression" dxfId="17" priority="15">
      <formula>$F39="SSV"</formula>
    </cfRule>
    <cfRule type="expression" dxfId="16" priority="20">
      <formula>$F39="Light"</formula>
    </cfRule>
    <cfRule type="expression" dxfId="15" priority="21">
      <formula>$F39="Medium"</formula>
    </cfRule>
    <cfRule type="expression" dxfId="14" priority="22">
      <formula>$F39="Hard"</formula>
    </cfRule>
    <cfRule type="expression" dxfId="13" priority="23">
      <formula>$F39="ATV"</formula>
    </cfRule>
  </conditionalFormatting>
  <conditionalFormatting sqref="F54">
    <cfRule type="expression" dxfId="8" priority="1">
      <formula>$F54="SSV"</formula>
    </cfRule>
    <cfRule type="expression" dxfId="7" priority="6">
      <formula>$F54="Light"</formula>
    </cfRule>
    <cfRule type="expression" dxfId="6" priority="7">
      <formula>$F54="Medium"</formula>
    </cfRule>
    <cfRule type="expression" dxfId="5" priority="8">
      <formula>$F54="Hard"</formula>
    </cfRule>
    <cfRule type="expression" dxfId="4" priority="9">
      <formula>$F54="ATV"</formula>
    </cfRule>
  </conditionalFormatting>
  <conditionalFormatting sqref="EC54">
    <cfRule type="expression" dxfId="3" priority="2">
      <formula>$F54="Light"</formula>
    </cfRule>
    <cfRule type="expression" dxfId="2" priority="3">
      <formula>$F54="Medium"</formula>
    </cfRule>
    <cfRule type="expression" dxfId="1" priority="4">
      <formula>$F54="Hard"</formula>
    </cfRule>
    <cfRule type="expression" dxfId="0" priority="5">
      <formula>$F54="ATV"</formula>
    </cfRule>
  </conditionalFormatting>
  <dataValidations count="1">
    <dataValidation type="list" allowBlank="1" showInputMessage="1" showErrorMessage="1" prompt="Выберите класс из списка" sqref="F3:F58">
      <formula1>F$61:F$64</formula1>
    </dataValidation>
  </dataValidations>
  <pageMargins left="0.7" right="0.7" top="0.75" bottom="0.75" header="0.3" footer="0.3"/>
  <pageSetup paperSize="9" orientation="portrait" r:id="rId1"/>
  <ignoredErrors>
    <ignoredError sqref="C7 C8 C15 C18 C20:C21 C26 C40 C42 C48" numberStoredAsText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topLeftCell="A16" zoomScaleNormal="100" workbookViewId="0">
      <selection activeCell="J19" sqref="J19"/>
    </sheetView>
  </sheetViews>
  <sheetFormatPr defaultRowHeight="15" x14ac:dyDescent="0.25"/>
  <cols>
    <col min="1" max="1" width="4.5703125" style="63" customWidth="1"/>
    <col min="2" max="2" width="5.28515625" style="63" customWidth="1"/>
    <col min="3" max="3" width="23.28515625" style="63" bestFit="1" customWidth="1"/>
    <col min="4" max="4" width="19.7109375" style="63" bestFit="1" customWidth="1"/>
    <col min="5" max="5" width="12.28515625" style="63" bestFit="1" customWidth="1"/>
    <col min="6" max="6" width="10" style="63" bestFit="1" customWidth="1"/>
    <col min="7" max="7" width="7.5703125" style="63" customWidth="1"/>
    <col min="8" max="8" width="8.7109375" style="63" customWidth="1"/>
    <col min="9" max="16384" width="9.140625" style="63"/>
  </cols>
  <sheetData>
    <row r="1" spans="1:8" x14ac:dyDescent="0.25">
      <c r="A1" s="79" t="str">
        <f>Данные!B66</f>
        <v>Российская автомобильная федерация</v>
      </c>
      <c r="B1" s="79"/>
      <c r="C1" s="79"/>
      <c r="D1" s="79"/>
      <c r="E1" s="79"/>
      <c r="F1" s="79"/>
      <c r="G1" s="79"/>
      <c r="H1" s="79"/>
    </row>
    <row r="2" spans="1:8" x14ac:dyDescent="0.25">
      <c r="A2" s="79" t="str">
        <f>Данные!B67</f>
        <v>ФАС Челябинской области</v>
      </c>
      <c r="B2" s="79"/>
      <c r="C2" s="79"/>
      <c r="D2" s="79"/>
      <c r="E2" s="79"/>
      <c r="F2" s="79"/>
      <c r="G2" s="79"/>
      <c r="H2" s="79"/>
    </row>
    <row r="3" spans="1:8" x14ac:dyDescent="0.25">
      <c r="A3" s="79" t="str">
        <f>Данные!B68</f>
        <v xml:space="preserve">Команда  Red Off-road Expedition </v>
      </c>
      <c r="B3" s="79"/>
      <c r="C3" s="79"/>
      <c r="D3" s="79"/>
      <c r="E3" s="79"/>
      <c r="F3" s="79"/>
      <c r="G3" s="79"/>
      <c r="H3" s="79"/>
    </row>
    <row r="4" spans="1:8" x14ac:dyDescent="0.25">
      <c r="A4" s="79" t="str">
        <f>Данные!B69</f>
        <v>ООО «Внедорожный центр 4х4»</v>
      </c>
      <c r="B4" s="79"/>
      <c r="C4" s="79"/>
      <c r="D4" s="79"/>
      <c r="E4" s="79"/>
      <c r="F4" s="79"/>
      <c r="G4" s="79"/>
      <c r="H4" s="79"/>
    </row>
    <row r="5" spans="1:8" x14ac:dyDescent="0.25">
      <c r="A5" s="79" t="str">
        <f>Данные!B70</f>
        <v>Команда Pro-X</v>
      </c>
      <c r="B5" s="79"/>
      <c r="C5" s="79"/>
      <c r="D5" s="79"/>
      <c r="E5" s="79"/>
      <c r="F5" s="79"/>
      <c r="G5" s="79"/>
      <c r="H5" s="79"/>
    </row>
    <row r="6" spans="1:8" x14ac:dyDescent="0.25">
      <c r="A6" s="79" t="str">
        <f>Данные!B71</f>
        <v>Этап кубка Урало-Сибирской зоны по трофи-рейдам</v>
      </c>
      <c r="B6" s="79"/>
      <c r="C6" s="79"/>
      <c r="D6" s="79"/>
      <c r="E6" s="79"/>
      <c r="F6" s="79"/>
      <c r="G6" s="79"/>
      <c r="H6" s="79"/>
    </row>
    <row r="7" spans="1:8" x14ac:dyDescent="0.25">
      <c r="A7" s="99"/>
      <c r="B7" s="99"/>
      <c r="C7" s="99"/>
      <c r="D7" s="99"/>
      <c r="E7" s="99"/>
      <c r="F7" s="99"/>
      <c r="G7" s="99"/>
      <c r="H7" s="99"/>
    </row>
    <row r="8" spans="1:8" x14ac:dyDescent="0.25">
      <c r="A8" s="100">
        <v>43358</v>
      </c>
      <c r="B8" s="100"/>
      <c r="C8" s="100"/>
      <c r="H8" s="60" t="s">
        <v>159</v>
      </c>
    </row>
    <row r="9" spans="1:8" x14ac:dyDescent="0.25">
      <c r="A9" s="81" t="s">
        <v>162</v>
      </c>
      <c r="B9" s="81"/>
      <c r="C9" s="81"/>
      <c r="D9" s="81"/>
      <c r="E9" s="81"/>
      <c r="F9" s="81"/>
      <c r="G9" s="81"/>
      <c r="H9" s="81"/>
    </row>
    <row r="10" spans="1:8" s="19" customFormat="1" x14ac:dyDescent="0.25">
      <c r="A10" s="63" t="str">
        <f>Данные!B61</f>
        <v>ОФИЦИАЛЬНО</v>
      </c>
      <c r="B10" s="63"/>
      <c r="C10" s="63"/>
      <c r="D10" s="63"/>
      <c r="E10" s="63"/>
      <c r="F10" s="63"/>
      <c r="G10" s="63"/>
      <c r="H10" s="53">
        <f>Данные!C61</f>
        <v>0.91666666666666663</v>
      </c>
    </row>
    <row r="11" spans="1:8" x14ac:dyDescent="0.25">
      <c r="A11" s="82" t="s">
        <v>154</v>
      </c>
      <c r="B11" s="82" t="s">
        <v>111</v>
      </c>
      <c r="C11" s="82" t="s">
        <v>1</v>
      </c>
      <c r="D11" s="82" t="s">
        <v>3</v>
      </c>
      <c r="E11" s="83" t="s">
        <v>4</v>
      </c>
      <c r="F11" s="92" t="s">
        <v>155</v>
      </c>
      <c r="G11" s="94" t="s">
        <v>156</v>
      </c>
      <c r="H11" s="82"/>
    </row>
    <row r="12" spans="1:8" s="3" customFormat="1" ht="33.75" x14ac:dyDescent="0.25">
      <c r="A12" s="82"/>
      <c r="B12" s="82"/>
      <c r="C12" s="82"/>
      <c r="D12" s="82"/>
      <c r="E12" s="83"/>
      <c r="F12" s="93"/>
      <c r="G12" s="28" t="s">
        <v>161</v>
      </c>
      <c r="H12" s="28" t="s">
        <v>160</v>
      </c>
    </row>
    <row r="13" spans="1:8" s="6" customFormat="1" ht="60" x14ac:dyDescent="0.25">
      <c r="A13" s="26">
        <f>VLOOKUP($B13,TAB,133,FALSE)</f>
        <v>1</v>
      </c>
      <c r="B13" s="25">
        <v>204</v>
      </c>
      <c r="C13" s="11" t="str">
        <f>VLOOKUP($B13,TAB,2,FALSE)</f>
        <v>Пелевин Евгений Сергеевич
Прочуханов Игорь Игоревич</v>
      </c>
      <c r="D13" s="11" t="str">
        <f>VLOOKUP($B13,TAB,4,FALSE)</f>
        <v>Полевской
Ревда</v>
      </c>
      <c r="E13" s="11" t="str">
        <f>VLOOKUP($B13,TAB,5,FALSE)</f>
        <v>Нива 21213</v>
      </c>
      <c r="F13" s="26">
        <f>VLOOKUP($B13,TAB,132,FALSE)</f>
        <v>1619</v>
      </c>
      <c r="G13" s="27" t="str">
        <f>IF(F13="СХОД","СХОД",IF(A13=1,"**",$F$13-F13))</f>
        <v>**</v>
      </c>
      <c r="H13" s="27" t="str">
        <f>IF(F13="СХОД","СХОД",IF(A13=1,"**",F12-F13))</f>
        <v>**</v>
      </c>
    </row>
    <row r="14" spans="1:8" s="6" customFormat="1" ht="60" x14ac:dyDescent="0.25">
      <c r="A14" s="26">
        <f>VLOOKUP($B14,TAB,133,FALSE)</f>
        <v>2</v>
      </c>
      <c r="B14" s="25">
        <v>202</v>
      </c>
      <c r="C14" s="11" t="str">
        <f>VLOOKUP($B14,TAB,2,FALSE)</f>
        <v>Клейн Александр Алексеевич
Манион Сергей Игоревич</v>
      </c>
      <c r="D14" s="11" t="str">
        <f>VLOOKUP($B14,TAB,4,FALSE)</f>
        <v>Екатеринбург
Екатеринбург</v>
      </c>
      <c r="E14" s="11" t="str">
        <f>VLOOKUP($B14,TAB,5,FALSE)</f>
        <v>TLC 70</v>
      </c>
      <c r="F14" s="26">
        <f>VLOOKUP($B14,TAB,132,FALSE)</f>
        <v>1552</v>
      </c>
      <c r="G14" s="27">
        <f>IF(F14="СХОД","СХОД",IF(A14=1,"**",$F$13-F14))</f>
        <v>67</v>
      </c>
      <c r="H14" s="27">
        <f>IF(F14="СХОД","СХОД",IF(A14=1,"**",F13-F14))</f>
        <v>67</v>
      </c>
    </row>
    <row r="15" spans="1:8" s="6" customFormat="1" ht="60" x14ac:dyDescent="0.25">
      <c r="A15" s="26">
        <f>VLOOKUP($B15,TAB,133,FALSE)</f>
        <v>3</v>
      </c>
      <c r="B15" s="25">
        <v>206</v>
      </c>
      <c r="C15" s="11" t="str">
        <f>VLOOKUP($B15,TAB,2,FALSE)</f>
        <v>Бачурин Антон Александрович
Лашков Антон Борисович</v>
      </c>
      <c r="D15" s="11" t="str">
        <f>VLOOKUP($B15,TAB,4,FALSE)</f>
        <v>Камышлов
Камышлов</v>
      </c>
      <c r="E15" s="11" t="str">
        <f>VLOOKUP($B15,TAB,5,FALSE)</f>
        <v>ГАЗ-69</v>
      </c>
      <c r="F15" s="26">
        <f>VLOOKUP($B15,TAB,132,FALSE)</f>
        <v>1479</v>
      </c>
      <c r="G15" s="27">
        <f>IF(F15="СХОД","СХОД",IF(A15=1,"**",$F$13-F15))</f>
        <v>140</v>
      </c>
      <c r="H15" s="27">
        <f>IF(F15="СХОД","СХОД",IF(A15=1,"**",F14-F15))</f>
        <v>73</v>
      </c>
    </row>
    <row r="16" spans="1:8" s="6" customFormat="1" ht="60" x14ac:dyDescent="0.25">
      <c r="A16" s="26">
        <f>VLOOKUP($B16,TAB,133,FALSE)</f>
        <v>4</v>
      </c>
      <c r="B16" s="25">
        <v>205</v>
      </c>
      <c r="C16" s="11" t="str">
        <f>VLOOKUP($B16,TAB,2,FALSE)</f>
        <v>Тетерин Роман Геннадьевич
Захаров Александр Васильевич</v>
      </c>
      <c r="D16" s="11" t="str">
        <f>VLOOKUP($B16,TAB,4,FALSE)</f>
        <v>Катайск
Катайск</v>
      </c>
      <c r="E16" s="11" t="str">
        <f>VLOOKUP($B16,TAB,5,FALSE)</f>
        <v>УАЗ 469</v>
      </c>
      <c r="F16" s="26">
        <f>VLOOKUP($B16,TAB,132,FALSE)</f>
        <v>988</v>
      </c>
      <c r="G16" s="27">
        <f>IF(F16="СХОД","СХОД",IF(A16=1,"**",$F$13-F16))</f>
        <v>631</v>
      </c>
      <c r="H16" s="27">
        <f>IF(F16="СХОД","СХОД",IF(A16=1,"**",F15-F16))</f>
        <v>491</v>
      </c>
    </row>
    <row r="17" spans="1:16" s="6" customFormat="1" ht="60" x14ac:dyDescent="0.25">
      <c r="A17" s="26">
        <f>VLOOKUP($B17,TAB,133,FALSE)</f>
        <v>5</v>
      </c>
      <c r="B17" s="25">
        <v>201</v>
      </c>
      <c r="C17" s="11" t="str">
        <f>VLOOKUP($B17,TAB,2,FALSE)</f>
        <v>Бикбулатов Илья Аликович
Стахеев Андрей Владимирович</v>
      </c>
      <c r="D17" s="11" t="str">
        <f>VLOOKUP($B17,TAB,4,FALSE)</f>
        <v>Первоуральск
Первоуральск</v>
      </c>
      <c r="E17" s="11" t="str">
        <f>VLOOKUP($B17,TAB,5,FALSE)</f>
        <v>УАЗ 31512</v>
      </c>
      <c r="F17" s="26">
        <f>VLOOKUP($B17,TAB,132,FALSE)</f>
        <v>691</v>
      </c>
      <c r="G17" s="27">
        <f>IF(F17="СХОД","СХОД",IF(A17=1,"**",$F$13-F17))</f>
        <v>928</v>
      </c>
      <c r="H17" s="27">
        <f>IF(F17="СХОД","СХОД",IF(A17=1,"**",F16-F17))</f>
        <v>297</v>
      </c>
    </row>
    <row r="18" spans="1:16" s="6" customFormat="1" ht="60" x14ac:dyDescent="0.25">
      <c r="A18" s="26">
        <f>VLOOKUP($B18,TAB,133,FALSE)</f>
        <v>6</v>
      </c>
      <c r="B18" s="25">
        <v>209</v>
      </c>
      <c r="C18" s="11" t="str">
        <f>VLOOKUP($B18,TAB,2,FALSE)</f>
        <v>Фахритдинов Альберт Фикратович 
Головко Кирилл Юрьевич</v>
      </c>
      <c r="D18" s="11" t="str">
        <f>VLOOKUP($B18,TAB,4,FALSE)</f>
        <v>Екатеринбург
Екатеринбург</v>
      </c>
      <c r="E18" s="11" t="str">
        <f>VLOOKUP($B18,TAB,5,FALSE)</f>
        <v>Jeep Grand Cherokee</v>
      </c>
      <c r="F18" s="26">
        <f>VLOOKUP($B18,TAB,132,FALSE)</f>
        <v>455</v>
      </c>
      <c r="G18" s="27">
        <f>IF(F18="СХОД","СХОД",IF(A18=1,"**",$F$13-F18))</f>
        <v>1164</v>
      </c>
      <c r="H18" s="27">
        <f>IF(F18="СХОД","СХОД",IF(A18=1,"**",F17-F18))</f>
        <v>236</v>
      </c>
    </row>
    <row r="19" spans="1:16" s="6" customFormat="1" ht="60" x14ac:dyDescent="0.25">
      <c r="A19" s="26">
        <f>VLOOKUP($B19,TAB,133,FALSE)</f>
        <v>7</v>
      </c>
      <c r="B19" s="25">
        <v>203</v>
      </c>
      <c r="C19" s="11" t="str">
        <f>VLOOKUP($B19,TAB,2,FALSE)</f>
        <v>Павелин Евгений Модестович
Давыдов Сергей Владимирович</v>
      </c>
      <c r="D19" s="11" t="str">
        <f>VLOOKUP($B19,TAB,4,FALSE)</f>
        <v>Екатеринбург
Екатеринбург</v>
      </c>
      <c r="E19" s="11" t="str">
        <f>VLOOKUP($B19,TAB,5,FALSE)</f>
        <v>TLC 70</v>
      </c>
      <c r="F19" s="26">
        <f>VLOOKUP($B19,TAB,132,FALSE)</f>
        <v>346</v>
      </c>
      <c r="G19" s="27">
        <f>IF(F19="СХОД","СХОД",IF(A19=1,"**",$F$13-F19))</f>
        <v>1273</v>
      </c>
      <c r="H19" s="27">
        <f>IF(F19="СХОД","СХОД",IF(A19=1,"**",F18-F19))</f>
        <v>109</v>
      </c>
    </row>
    <row r="20" spans="1:16" s="6" customFormat="1" ht="60" x14ac:dyDescent="0.25">
      <c r="A20" s="26">
        <f>VLOOKUP($B20,TAB,133,FALSE)</f>
        <v>8</v>
      </c>
      <c r="B20" s="25">
        <v>207</v>
      </c>
      <c r="C20" s="11" t="str">
        <f>VLOOKUP($B20,TAB,2,FALSE)</f>
        <v>Моисеев Сергей Александрович
Никитин Сергей Владимирович</v>
      </c>
      <c r="D20" s="11" t="str">
        <f>VLOOKUP($B20,TAB,4,FALSE)</f>
        <v>Челябинск
Челябинск</v>
      </c>
      <c r="E20" s="11" t="str">
        <f>VLOOKUP($B20,TAB,5,FALSE)</f>
        <v>ВАЗ 2121</v>
      </c>
      <c r="F20" s="26">
        <f>VLOOKUP($B20,TAB,132,FALSE)</f>
        <v>310</v>
      </c>
      <c r="G20" s="27">
        <f>IF(F20="СХОД","СХОД",IF(A20=1,"**",$F$13-F20))</f>
        <v>1309</v>
      </c>
      <c r="H20" s="27">
        <f>IF(F20="СХОД","СХОД",IF(A20=1,"**",F19-F20))</f>
        <v>36</v>
      </c>
    </row>
    <row r="21" spans="1:16" s="6" customFormat="1" x14ac:dyDescent="0.25">
      <c r="A21" s="32"/>
      <c r="B21" s="33"/>
      <c r="C21" s="33"/>
      <c r="D21" s="33"/>
      <c r="E21" s="34"/>
      <c r="F21" s="35"/>
      <c r="G21" s="35"/>
      <c r="H21" s="35"/>
    </row>
    <row r="22" spans="1:16" s="36" customFormat="1" x14ac:dyDescent="0.25">
      <c r="A22" s="38"/>
      <c r="B22" s="37" t="s">
        <v>357</v>
      </c>
      <c r="C22" s="37"/>
      <c r="D22" s="37"/>
      <c r="E22" s="37" t="s">
        <v>358</v>
      </c>
      <c r="F22" s="40"/>
      <c r="G22" s="40"/>
      <c r="H22" s="40"/>
      <c r="I22" s="34"/>
      <c r="J22" s="35"/>
      <c r="K22" s="35"/>
      <c r="L22" s="35"/>
      <c r="M22" s="34"/>
      <c r="N22" s="35"/>
      <c r="O22" s="35"/>
      <c r="P22" s="35"/>
    </row>
    <row r="23" spans="1:16" s="41" customFormat="1" x14ac:dyDescent="0.25">
      <c r="A23" s="63"/>
      <c r="B23" s="63"/>
      <c r="C23" s="63"/>
      <c r="D23" s="63"/>
      <c r="E23" s="63"/>
      <c r="F23" s="63"/>
      <c r="G23" s="63"/>
      <c r="H23" s="63"/>
      <c r="I23" s="39"/>
      <c r="J23" s="40"/>
      <c r="L23" s="40"/>
      <c r="M23" s="39"/>
      <c r="N23" s="40"/>
      <c r="O23" s="40"/>
      <c r="P23" s="40"/>
    </row>
  </sheetData>
  <sortState ref="A13:H20">
    <sortCondition ref="A13:A20"/>
  </sortState>
  <mergeCells count="16">
    <mergeCell ref="A6:H6"/>
    <mergeCell ref="A1:H1"/>
    <mergeCell ref="A2:H2"/>
    <mergeCell ref="A3:H3"/>
    <mergeCell ref="A4:H4"/>
    <mergeCell ref="A5:H5"/>
    <mergeCell ref="G11:H11"/>
    <mergeCell ref="A7:H7"/>
    <mergeCell ref="A8:C8"/>
    <mergeCell ref="A9:H9"/>
    <mergeCell ref="A11:A12"/>
    <mergeCell ref="B11:B12"/>
    <mergeCell ref="C11:C12"/>
    <mergeCell ref="D11:D12"/>
    <mergeCell ref="E11:E12"/>
    <mergeCell ref="F11:F12"/>
  </mergeCells>
  <printOptions horizontalCentered="1"/>
  <pageMargins left="0.31496062992125984" right="0.31496062992125984" top="0.74803149606299213" bottom="0.35433070866141736" header="0.31496062992125984" footer="0.31496062992125984"/>
  <pageSetup paperSize="9" scale="9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10"/>
  <sheetViews>
    <sheetView topLeftCell="A22" zoomScaleNormal="100" workbookViewId="0">
      <selection activeCell="C13" sqref="C13"/>
    </sheetView>
  </sheetViews>
  <sheetFormatPr defaultRowHeight="15" x14ac:dyDescent="0.25"/>
  <cols>
    <col min="1" max="1" width="5.28515625" style="63" customWidth="1"/>
    <col min="2" max="2" width="23.28515625" style="63" customWidth="1"/>
    <col min="3" max="3" width="19.7109375" style="63" customWidth="1"/>
    <col min="4" max="4" width="12.28515625" style="63" customWidth="1"/>
    <col min="5" max="5" width="7.140625" style="63" customWidth="1"/>
    <col min="6" max="8" width="6.28515625" style="63" customWidth="1"/>
    <col min="9" max="9" width="7.140625" style="63" customWidth="1"/>
    <col min="10" max="12" width="6.28515625" style="63" customWidth="1"/>
    <col min="13" max="13" width="7.140625" style="63" customWidth="1"/>
    <col min="14" max="16" width="6.28515625" style="63" customWidth="1"/>
    <col min="17" max="17" width="5.7109375" style="63" customWidth="1"/>
    <col min="18" max="18" width="23.28515625" style="63" bestFit="1" customWidth="1"/>
    <col min="19" max="19" width="19.7109375" style="63" bestFit="1" customWidth="1"/>
    <col min="20" max="20" width="12.28515625" style="63" bestFit="1" customWidth="1"/>
    <col min="21" max="21" width="7.140625" style="63" bestFit="1" customWidth="1"/>
    <col min="22" max="22" width="6.28515625" style="63" customWidth="1"/>
    <col min="23" max="23" width="6.28515625" style="63" bestFit="1" customWidth="1"/>
    <col min="24" max="24" width="6.28515625" style="63" customWidth="1"/>
    <col min="25" max="25" width="7.140625" style="63" bestFit="1" customWidth="1"/>
    <col min="26" max="28" width="6.28515625" style="63" customWidth="1"/>
    <col min="29" max="29" width="7.140625" style="63" bestFit="1" customWidth="1"/>
    <col min="30" max="33" width="6.28515625" style="63" customWidth="1"/>
    <col min="34" max="34" width="23.28515625" style="63" bestFit="1" customWidth="1"/>
    <col min="35" max="35" width="19.7109375" style="63" bestFit="1" customWidth="1"/>
    <col min="36" max="36" width="12.28515625" style="63" bestFit="1" customWidth="1"/>
    <col min="37" max="37" width="7.140625" style="63" bestFit="1" customWidth="1"/>
    <col min="38" max="38" width="6.28515625" style="63" customWidth="1"/>
    <col min="39" max="39" width="6.28515625" style="63" bestFit="1" customWidth="1"/>
    <col min="40" max="40" width="6.28515625" style="63" customWidth="1"/>
    <col min="41" max="41" width="7.140625" style="63" bestFit="1" customWidth="1"/>
    <col min="42" max="44" width="6.28515625" style="63" customWidth="1"/>
    <col min="45" max="45" width="7.140625" style="63" bestFit="1" customWidth="1"/>
    <col min="46" max="48" width="6.28515625" style="63" customWidth="1"/>
    <col min="49" max="49" width="5.5703125" style="63" customWidth="1"/>
    <col min="50" max="50" width="23.28515625" style="63" bestFit="1" customWidth="1"/>
    <col min="51" max="51" width="19.7109375" style="63" bestFit="1" customWidth="1"/>
    <col min="52" max="52" width="12.28515625" style="63" bestFit="1" customWidth="1"/>
    <col min="53" max="53" width="7.140625" style="63" bestFit="1" customWidth="1"/>
    <col min="54" max="54" width="6.28515625" style="63" customWidth="1"/>
    <col min="55" max="55" width="6.28515625" style="63" bestFit="1" customWidth="1"/>
    <col min="56" max="56" width="6.28515625" style="63" customWidth="1"/>
    <col min="57" max="57" width="7.140625" style="63" bestFit="1" customWidth="1"/>
    <col min="58" max="60" width="6.28515625" style="63" customWidth="1"/>
    <col min="61" max="61" width="7.140625" style="63" bestFit="1" customWidth="1"/>
    <col min="62" max="64" width="6.28515625" style="63" customWidth="1"/>
    <col min="65" max="65" width="5.5703125" style="63" customWidth="1"/>
    <col min="66" max="66" width="23.28515625" style="63" bestFit="1" customWidth="1"/>
    <col min="67" max="67" width="19.7109375" style="63" bestFit="1" customWidth="1"/>
    <col min="68" max="68" width="12.28515625" style="63" bestFit="1" customWidth="1"/>
    <col min="69" max="69" width="7.140625" style="63" bestFit="1" customWidth="1"/>
    <col min="70" max="70" width="6.28515625" style="63" customWidth="1"/>
    <col min="71" max="71" width="6.28515625" style="63" bestFit="1" customWidth="1"/>
    <col min="72" max="72" width="6.28515625" style="63" customWidth="1"/>
    <col min="73" max="73" width="7.140625" style="63" bestFit="1" customWidth="1"/>
    <col min="74" max="76" width="6.28515625" style="63" customWidth="1"/>
    <col min="77" max="77" width="7.140625" style="63" bestFit="1" customWidth="1"/>
    <col min="78" max="80" width="6.28515625" style="63" customWidth="1"/>
    <col min="81" max="81" width="5.7109375" style="63" customWidth="1"/>
    <col min="82" max="82" width="23.28515625" style="63" bestFit="1" customWidth="1"/>
    <col min="83" max="83" width="19.7109375" style="63" bestFit="1" customWidth="1"/>
    <col min="84" max="84" width="12.28515625" style="63" bestFit="1" customWidth="1"/>
    <col min="85" max="85" width="7.140625" style="63" bestFit="1" customWidth="1"/>
    <col min="86" max="86" width="6.28515625" style="63" customWidth="1"/>
    <col min="87" max="87" width="6.28515625" style="63" bestFit="1" customWidth="1"/>
    <col min="88" max="88" width="6.28515625" style="63" customWidth="1"/>
    <col min="89" max="89" width="7.140625" style="63" bestFit="1" customWidth="1"/>
    <col min="90" max="92" width="6.28515625" style="63" customWidth="1"/>
    <col min="93" max="93" width="7.140625" style="63" bestFit="1" customWidth="1"/>
    <col min="94" max="96" width="6.28515625" style="63" customWidth="1"/>
    <col min="97" max="16384" width="9.140625" style="63"/>
  </cols>
  <sheetData>
    <row r="1" spans="1:96" x14ac:dyDescent="0.25">
      <c r="A1" s="60" t="str">
        <f>Данные!B66</f>
        <v>Российская автомобильная федерация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79" t="str">
        <f>Данные!B66</f>
        <v>Российская автомобильная федерация</v>
      </c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 t="str">
        <f>Данные!B66</f>
        <v>Российская автомобильная федерация</v>
      </c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 t="str">
        <f>Данные!B66</f>
        <v>Российская автомобильная федерация</v>
      </c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 t="str">
        <f>Данные!B66</f>
        <v>Российская автомобильная федерация</v>
      </c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  <c r="CC1" s="79" t="str">
        <f>Данные!B66</f>
        <v>Российская автомобильная федерация</v>
      </c>
      <c r="CD1" s="79"/>
      <c r="CE1" s="79"/>
      <c r="CF1" s="79"/>
      <c r="CG1" s="79"/>
      <c r="CH1" s="79"/>
      <c r="CI1" s="79"/>
      <c r="CJ1" s="79"/>
      <c r="CK1" s="79"/>
      <c r="CL1" s="79"/>
      <c r="CM1" s="79"/>
      <c r="CN1" s="79"/>
      <c r="CO1" s="79"/>
      <c r="CP1" s="79"/>
      <c r="CQ1" s="79"/>
      <c r="CR1" s="79"/>
    </row>
    <row r="2" spans="1:96" x14ac:dyDescent="0.25">
      <c r="A2" s="79" t="str">
        <f>Данные!B67</f>
        <v>ФАС Челябинской области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 t="str">
        <f>Данные!B67</f>
        <v>ФАС Челябинской области</v>
      </c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 t="str">
        <f>Данные!B67</f>
        <v>ФАС Челябинской области</v>
      </c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 t="str">
        <f>Данные!B67</f>
        <v>ФАС Челябинской области</v>
      </c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 t="str">
        <f>Данные!B67</f>
        <v>ФАС Челябинской области</v>
      </c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 t="str">
        <f>Данные!B67</f>
        <v>ФАС Челябинской области</v>
      </c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</row>
    <row r="3" spans="1:96" x14ac:dyDescent="0.25">
      <c r="A3" s="79" t="str">
        <f>Данные!B68</f>
        <v xml:space="preserve">Команда  Red Off-road Expedition 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 t="str">
        <f>Данные!B68</f>
        <v xml:space="preserve">Команда  Red Off-road Expedition </v>
      </c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 t="str">
        <f>Данные!B68</f>
        <v xml:space="preserve">Команда  Red Off-road Expedition </v>
      </c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 t="str">
        <f>Данные!B68</f>
        <v xml:space="preserve">Команда  Red Off-road Expedition </v>
      </c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 t="str">
        <f>Данные!B68</f>
        <v xml:space="preserve">Команда  Red Off-road Expedition </v>
      </c>
      <c r="BN3" s="79"/>
      <c r="BO3" s="79"/>
      <c r="BP3" s="79"/>
      <c r="BQ3" s="79"/>
      <c r="BR3" s="79"/>
      <c r="BS3" s="79"/>
      <c r="BT3" s="79"/>
      <c r="BU3" s="79"/>
      <c r="BV3" s="79"/>
      <c r="BW3" s="79"/>
      <c r="BX3" s="79"/>
      <c r="BY3" s="79"/>
      <c r="BZ3" s="79"/>
      <c r="CA3" s="79"/>
      <c r="CB3" s="79"/>
      <c r="CC3" s="79" t="str">
        <f>Данные!B68</f>
        <v xml:space="preserve">Команда  Red Off-road Expedition </v>
      </c>
      <c r="CD3" s="79"/>
      <c r="CE3" s="79"/>
      <c r="CF3" s="79"/>
      <c r="CG3" s="79"/>
      <c r="CH3" s="79"/>
      <c r="CI3" s="79"/>
      <c r="CJ3" s="79"/>
      <c r="CK3" s="79"/>
      <c r="CL3" s="79"/>
      <c r="CM3" s="79"/>
      <c r="CN3" s="79"/>
      <c r="CO3" s="79"/>
      <c r="CP3" s="79"/>
      <c r="CQ3" s="79"/>
      <c r="CR3" s="79"/>
    </row>
    <row r="4" spans="1:96" x14ac:dyDescent="0.25">
      <c r="A4" s="79" t="str">
        <f>Данные!B69</f>
        <v>ООО «Внедорожный центр 4х4»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 t="str">
        <f>Данные!B69</f>
        <v>ООО «Внедорожный центр 4х4»</v>
      </c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 t="str">
        <f>Данные!B69</f>
        <v>ООО «Внедорожный центр 4х4»</v>
      </c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 t="str">
        <f>Данные!B69</f>
        <v>ООО «Внедорожный центр 4х4»</v>
      </c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 t="str">
        <f>Данные!B69</f>
        <v>ООО «Внедорожный центр 4х4»</v>
      </c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 t="str">
        <f>Данные!B69</f>
        <v>ООО «Внедорожный центр 4х4»</v>
      </c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</row>
    <row r="5" spans="1:96" x14ac:dyDescent="0.25">
      <c r="A5" s="79" t="str">
        <f>Данные!B70</f>
        <v>Команда Pro-X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 t="str">
        <f>Данные!B70</f>
        <v>Команда Pro-X</v>
      </c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 t="str">
        <f>Данные!B70</f>
        <v>Команда Pro-X</v>
      </c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 t="str">
        <f>Данные!B70</f>
        <v>Команда Pro-X</v>
      </c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 t="str">
        <f>Данные!B70</f>
        <v>Команда Pro-X</v>
      </c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 t="str">
        <f>Данные!B70</f>
        <v>Команда Pro-X</v>
      </c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</row>
    <row r="6" spans="1:96" x14ac:dyDescent="0.25">
      <c r="A6" s="79" t="str">
        <f>Данные!B71</f>
        <v>Этап кубка Урало-Сибирской зоны по трофи-рейдам</v>
      </c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 t="str">
        <f>Данные!B71</f>
        <v>Этап кубка Урало-Сибирской зоны по трофи-рейдам</v>
      </c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 t="str">
        <f>Данные!B71</f>
        <v>Этап кубка Урало-Сибирской зоны по трофи-рейдам</v>
      </c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 t="str">
        <f>Данные!B71</f>
        <v>Этап кубка Урало-Сибирской зоны по трофи-рейдам</v>
      </c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  <c r="BM6" s="79" t="str">
        <f>Данные!B71</f>
        <v>Этап кубка Урало-Сибирской зоны по трофи-рейдам</v>
      </c>
      <c r="BN6" s="79"/>
      <c r="BO6" s="79"/>
      <c r="BP6" s="79"/>
      <c r="BQ6" s="79"/>
      <c r="BR6" s="79"/>
      <c r="BS6" s="79"/>
      <c r="BT6" s="79"/>
      <c r="BU6" s="79"/>
      <c r="BV6" s="79"/>
      <c r="BW6" s="79"/>
      <c r="BX6" s="79"/>
      <c r="BY6" s="79"/>
      <c r="BZ6" s="79"/>
      <c r="CA6" s="79"/>
      <c r="CB6" s="79"/>
      <c r="CC6" s="79" t="str">
        <f>Данные!B71</f>
        <v>Этап кубка Урало-Сибирской зоны по трофи-рейдам</v>
      </c>
      <c r="CD6" s="79"/>
      <c r="CE6" s="79"/>
      <c r="CF6" s="79"/>
      <c r="CG6" s="79"/>
      <c r="CH6" s="79"/>
      <c r="CI6" s="79"/>
      <c r="CJ6" s="79"/>
      <c r="CK6" s="79"/>
      <c r="CL6" s="79"/>
      <c r="CM6" s="79"/>
      <c r="CN6" s="79"/>
      <c r="CO6" s="79"/>
      <c r="CP6" s="79"/>
      <c r="CQ6" s="79"/>
      <c r="CR6" s="79"/>
    </row>
    <row r="7" spans="1:96" x14ac:dyDescent="0.25">
      <c r="A7" s="79" t="str">
        <f>Данные!B72</f>
        <v>г.Челябинск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 t="str">
        <f>Данные!B72</f>
        <v>г.Челябинск</v>
      </c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 t="str">
        <f>Данные!B72</f>
        <v>г.Челябинск</v>
      </c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 t="str">
        <f>Данные!B72</f>
        <v>г.Челябинск</v>
      </c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 t="str">
        <f>Данные!B72</f>
        <v>г.Челябинск</v>
      </c>
      <c r="BN7" s="79"/>
      <c r="BO7" s="79"/>
      <c r="BP7" s="79"/>
      <c r="BQ7" s="79"/>
      <c r="BR7" s="79"/>
      <c r="BS7" s="79"/>
      <c r="BT7" s="79"/>
      <c r="BU7" s="79"/>
      <c r="BV7" s="79"/>
      <c r="BW7" s="79"/>
      <c r="BX7" s="79"/>
      <c r="BY7" s="79"/>
      <c r="BZ7" s="79"/>
      <c r="CA7" s="79"/>
      <c r="CB7" s="79"/>
      <c r="CC7" s="79" t="str">
        <f>Данные!B72</f>
        <v>г.Челябинск</v>
      </c>
      <c r="CD7" s="79"/>
      <c r="CE7" s="79"/>
      <c r="CF7" s="79"/>
      <c r="CG7" s="79"/>
      <c r="CH7" s="79"/>
      <c r="CI7" s="79"/>
      <c r="CJ7" s="79"/>
      <c r="CK7" s="79"/>
      <c r="CL7" s="79"/>
      <c r="CM7" s="79"/>
      <c r="CN7" s="79"/>
      <c r="CO7" s="79"/>
      <c r="CP7" s="79"/>
      <c r="CQ7" s="79"/>
      <c r="CR7" s="79"/>
    </row>
    <row r="8" spans="1:96" x14ac:dyDescent="0.25">
      <c r="A8" s="80">
        <f>Данные!B73</f>
        <v>43358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>
        <f>Данные!B73</f>
        <v>43358</v>
      </c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>
        <f>Данные!B73</f>
        <v>43358</v>
      </c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>
        <f>Данные!B73</f>
        <v>43358</v>
      </c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>
        <f>Данные!B73</f>
        <v>43358</v>
      </c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>
        <f>Данные!B73</f>
        <v>43358</v>
      </c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</row>
    <row r="9" spans="1:96" s="19" customFormat="1" x14ac:dyDescent="0.25">
      <c r="A9" s="81" t="s">
        <v>199</v>
      </c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 t="s">
        <v>199</v>
      </c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 t="s">
        <v>199</v>
      </c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 t="s">
        <v>199</v>
      </c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 t="s">
        <v>199</v>
      </c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 t="s">
        <v>199</v>
      </c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</row>
    <row r="10" spans="1:96" s="19" customFormat="1" x14ac:dyDescent="0.25">
      <c r="A10" s="97" t="s">
        <v>212</v>
      </c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 t="s">
        <v>212</v>
      </c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 t="s">
        <v>212</v>
      </c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 t="s">
        <v>212</v>
      </c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 t="s">
        <v>212</v>
      </c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 t="s">
        <v>212</v>
      </c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</row>
    <row r="11" spans="1:96" s="29" customFormat="1" ht="15" customHeight="1" x14ac:dyDescent="0.25">
      <c r="A11" s="82" t="s">
        <v>111</v>
      </c>
      <c r="B11" s="82" t="s">
        <v>1</v>
      </c>
      <c r="C11" s="82" t="s">
        <v>3</v>
      </c>
      <c r="D11" s="83" t="s">
        <v>4</v>
      </c>
      <c r="E11" s="43" t="s">
        <v>223</v>
      </c>
      <c r="F11" s="95" t="str">
        <f>VLOOKUP(E11,SU,2,FALSE)</f>
        <v>Кольцевая гонка</v>
      </c>
      <c r="G11" s="95"/>
      <c r="H11" s="96"/>
      <c r="I11" s="64"/>
      <c r="J11" s="98"/>
      <c r="K11" s="98"/>
      <c r="L11" s="98"/>
      <c r="M11" s="65"/>
      <c r="N11" s="98"/>
      <c r="O11" s="98"/>
      <c r="P11" s="98"/>
      <c r="Q11" s="82" t="s">
        <v>111</v>
      </c>
      <c r="R11" s="82" t="s">
        <v>1</v>
      </c>
      <c r="S11" s="82" t="s">
        <v>3</v>
      </c>
      <c r="T11" s="83" t="s">
        <v>4</v>
      </c>
      <c r="U11" s="43" t="s">
        <v>168</v>
      </c>
      <c r="V11" s="95" t="str">
        <f>VLOOKUP(U11,SU,2,FALSE)</f>
        <v>СУ-16</v>
      </c>
      <c r="W11" s="95"/>
      <c r="X11" s="96"/>
      <c r="Y11" s="43" t="s">
        <v>169</v>
      </c>
      <c r="Z11" s="95" t="str">
        <f>VLOOKUP(Y11,SU,2,FALSE)</f>
        <v>СУ-17</v>
      </c>
      <c r="AA11" s="95"/>
      <c r="AB11" s="96"/>
      <c r="AC11" s="43" t="s">
        <v>170</v>
      </c>
      <c r="AD11" s="95" t="str">
        <f>VLOOKUP(AC11,SU,2,FALSE)</f>
        <v>СУ-18</v>
      </c>
      <c r="AE11" s="95"/>
      <c r="AF11" s="96"/>
      <c r="AG11" s="82" t="s">
        <v>111</v>
      </c>
      <c r="AH11" s="82" t="s">
        <v>1</v>
      </c>
      <c r="AI11" s="82" t="s">
        <v>3</v>
      </c>
      <c r="AJ11" s="83" t="s">
        <v>4</v>
      </c>
      <c r="AK11" s="43" t="s">
        <v>186</v>
      </c>
      <c r="AL11" s="95" t="str">
        <f>VLOOKUP(AK11,SU,2,FALSE)</f>
        <v>СУ-19</v>
      </c>
      <c r="AM11" s="95"/>
      <c r="AN11" s="96"/>
      <c r="AO11" s="43" t="s">
        <v>187</v>
      </c>
      <c r="AP11" s="95" t="str">
        <f>VLOOKUP(AO11,SU,2,FALSE)</f>
        <v>СУ-20</v>
      </c>
      <c r="AQ11" s="95"/>
      <c r="AR11" s="96"/>
      <c r="AS11" s="43" t="s">
        <v>188</v>
      </c>
      <c r="AT11" s="95" t="str">
        <f>VLOOKUP(AS11,SU,2,FALSE)</f>
        <v>СУ-21</v>
      </c>
      <c r="AU11" s="95"/>
      <c r="AV11" s="96"/>
      <c r="AW11" s="82" t="s">
        <v>111</v>
      </c>
      <c r="AX11" s="82" t="s">
        <v>1</v>
      </c>
      <c r="AY11" s="82" t="s">
        <v>3</v>
      </c>
      <c r="AZ11" s="83" t="s">
        <v>4</v>
      </c>
      <c r="BA11" s="43" t="s">
        <v>189</v>
      </c>
      <c r="BB11" s="95" t="str">
        <f>VLOOKUP(BA11,SU,2,FALSE)</f>
        <v>СУ-22</v>
      </c>
      <c r="BC11" s="95"/>
      <c r="BD11" s="96"/>
      <c r="BE11" s="43" t="s">
        <v>190</v>
      </c>
      <c r="BF11" s="95" t="str">
        <f>VLOOKUP(BE11,SU,2,FALSE)</f>
        <v>СУ-23</v>
      </c>
      <c r="BG11" s="95"/>
      <c r="BH11" s="96"/>
      <c r="BI11" s="43" t="s">
        <v>191</v>
      </c>
      <c r="BJ11" s="95" t="str">
        <f>VLOOKUP(BI11,SU,2,FALSE)</f>
        <v>СУ-24</v>
      </c>
      <c r="BK11" s="95"/>
      <c r="BL11" s="96"/>
      <c r="BM11" s="82" t="s">
        <v>111</v>
      </c>
      <c r="BN11" s="82" t="s">
        <v>1</v>
      </c>
      <c r="BO11" s="82" t="s">
        <v>3</v>
      </c>
      <c r="BP11" s="83" t="s">
        <v>4</v>
      </c>
      <c r="BQ11" s="43" t="s">
        <v>192</v>
      </c>
      <c r="BR11" s="95" t="str">
        <f>VLOOKUP(BQ11,SU,2,FALSE)</f>
        <v>СУ-25</v>
      </c>
      <c r="BS11" s="95"/>
      <c r="BT11" s="96"/>
      <c r="BU11" s="43" t="s">
        <v>193</v>
      </c>
      <c r="BV11" s="95" t="str">
        <f>VLOOKUP(BU11,SU,2,FALSE)</f>
        <v>СУ-26</v>
      </c>
      <c r="BW11" s="95"/>
      <c r="BX11" s="96"/>
      <c r="BY11" s="43" t="s">
        <v>194</v>
      </c>
      <c r="BZ11" s="95" t="str">
        <f>VLOOKUP(BY11,SU,2,FALSE)</f>
        <v>СУ-27</v>
      </c>
      <c r="CA11" s="95"/>
      <c r="CB11" s="96"/>
      <c r="CC11" s="82" t="s">
        <v>111</v>
      </c>
      <c r="CD11" s="82" t="s">
        <v>1</v>
      </c>
      <c r="CE11" s="82" t="s">
        <v>3</v>
      </c>
      <c r="CF11" s="83" t="s">
        <v>4</v>
      </c>
      <c r="CG11" s="43" t="s">
        <v>195</v>
      </c>
      <c r="CH11" s="95" t="str">
        <f>VLOOKUP(CG11,SU,2,FALSE)</f>
        <v>СУ-28</v>
      </c>
      <c r="CI11" s="95"/>
      <c r="CJ11" s="96"/>
      <c r="CK11" s="43" t="s">
        <v>196</v>
      </c>
      <c r="CL11" s="95" t="str">
        <f>VLOOKUP(CK11,SU,2,FALSE)</f>
        <v>СУ-29</v>
      </c>
      <c r="CM11" s="95"/>
      <c r="CN11" s="96"/>
      <c r="CO11" s="43" t="s">
        <v>197</v>
      </c>
      <c r="CP11" s="95" t="str">
        <f>VLOOKUP(CO11,SU,2,FALSE)</f>
        <v>СУ-30</v>
      </c>
      <c r="CQ11" s="95"/>
      <c r="CR11" s="96"/>
    </row>
    <row r="12" spans="1:96" s="29" customFormat="1" ht="25.5" x14ac:dyDescent="0.25">
      <c r="A12" s="82"/>
      <c r="B12" s="82"/>
      <c r="C12" s="82"/>
      <c r="D12" s="83"/>
      <c r="E12" s="62" t="s">
        <v>112</v>
      </c>
      <c r="F12" s="61" t="s">
        <v>152</v>
      </c>
      <c r="G12" s="62" t="s">
        <v>113</v>
      </c>
      <c r="H12" s="62" t="s">
        <v>114</v>
      </c>
      <c r="I12" s="66"/>
      <c r="J12" s="67"/>
      <c r="K12" s="68"/>
      <c r="L12" s="68"/>
      <c r="M12" s="68"/>
      <c r="N12" s="67"/>
      <c r="O12" s="68"/>
      <c r="P12" s="68"/>
      <c r="Q12" s="82"/>
      <c r="R12" s="82"/>
      <c r="S12" s="82"/>
      <c r="T12" s="83"/>
      <c r="U12" s="62" t="s">
        <v>112</v>
      </c>
      <c r="V12" s="61" t="s">
        <v>152</v>
      </c>
      <c r="W12" s="62" t="s">
        <v>113</v>
      </c>
      <c r="X12" s="62" t="s">
        <v>114</v>
      </c>
      <c r="Y12" s="62" t="s">
        <v>112</v>
      </c>
      <c r="Z12" s="61" t="s">
        <v>152</v>
      </c>
      <c r="AA12" s="62" t="s">
        <v>113</v>
      </c>
      <c r="AB12" s="62" t="s">
        <v>114</v>
      </c>
      <c r="AC12" s="62" t="s">
        <v>112</v>
      </c>
      <c r="AD12" s="61" t="s">
        <v>152</v>
      </c>
      <c r="AE12" s="62" t="s">
        <v>113</v>
      </c>
      <c r="AF12" s="62" t="s">
        <v>114</v>
      </c>
      <c r="AG12" s="82"/>
      <c r="AH12" s="82"/>
      <c r="AI12" s="82"/>
      <c r="AJ12" s="83"/>
      <c r="AK12" s="62" t="s">
        <v>112</v>
      </c>
      <c r="AL12" s="61" t="s">
        <v>152</v>
      </c>
      <c r="AM12" s="62" t="s">
        <v>113</v>
      </c>
      <c r="AN12" s="62" t="s">
        <v>114</v>
      </c>
      <c r="AO12" s="62" t="s">
        <v>112</v>
      </c>
      <c r="AP12" s="61" t="s">
        <v>152</v>
      </c>
      <c r="AQ12" s="62" t="s">
        <v>113</v>
      </c>
      <c r="AR12" s="62" t="s">
        <v>114</v>
      </c>
      <c r="AS12" s="62" t="s">
        <v>112</v>
      </c>
      <c r="AT12" s="61" t="s">
        <v>152</v>
      </c>
      <c r="AU12" s="62" t="s">
        <v>113</v>
      </c>
      <c r="AV12" s="62" t="s">
        <v>114</v>
      </c>
      <c r="AW12" s="82"/>
      <c r="AX12" s="82"/>
      <c r="AY12" s="82"/>
      <c r="AZ12" s="83"/>
      <c r="BA12" s="62" t="s">
        <v>112</v>
      </c>
      <c r="BB12" s="61" t="s">
        <v>152</v>
      </c>
      <c r="BC12" s="62" t="s">
        <v>113</v>
      </c>
      <c r="BD12" s="62" t="s">
        <v>114</v>
      </c>
      <c r="BE12" s="62" t="s">
        <v>112</v>
      </c>
      <c r="BF12" s="61" t="s">
        <v>152</v>
      </c>
      <c r="BG12" s="62" t="s">
        <v>113</v>
      </c>
      <c r="BH12" s="62" t="s">
        <v>114</v>
      </c>
      <c r="BI12" s="62" t="s">
        <v>112</v>
      </c>
      <c r="BJ12" s="61" t="s">
        <v>152</v>
      </c>
      <c r="BK12" s="62" t="s">
        <v>113</v>
      </c>
      <c r="BL12" s="62" t="s">
        <v>114</v>
      </c>
      <c r="BM12" s="82"/>
      <c r="BN12" s="82"/>
      <c r="BO12" s="82"/>
      <c r="BP12" s="83"/>
      <c r="BQ12" s="62" t="s">
        <v>112</v>
      </c>
      <c r="BR12" s="61" t="s">
        <v>152</v>
      </c>
      <c r="BS12" s="62" t="s">
        <v>113</v>
      </c>
      <c r="BT12" s="62" t="s">
        <v>114</v>
      </c>
      <c r="BU12" s="62" t="s">
        <v>112</v>
      </c>
      <c r="BV12" s="61" t="s">
        <v>152</v>
      </c>
      <c r="BW12" s="62" t="s">
        <v>113</v>
      </c>
      <c r="BX12" s="62" t="s">
        <v>114</v>
      </c>
      <c r="BY12" s="62" t="s">
        <v>112</v>
      </c>
      <c r="BZ12" s="61" t="s">
        <v>152</v>
      </c>
      <c r="CA12" s="62" t="s">
        <v>113</v>
      </c>
      <c r="CB12" s="62" t="s">
        <v>114</v>
      </c>
      <c r="CC12" s="82"/>
      <c r="CD12" s="82"/>
      <c r="CE12" s="82"/>
      <c r="CF12" s="83"/>
      <c r="CG12" s="62" t="s">
        <v>112</v>
      </c>
      <c r="CH12" s="61" t="s">
        <v>152</v>
      </c>
      <c r="CI12" s="62" t="s">
        <v>113</v>
      </c>
      <c r="CJ12" s="62" t="s">
        <v>114</v>
      </c>
      <c r="CK12" s="62" t="s">
        <v>112</v>
      </c>
      <c r="CL12" s="61" t="s">
        <v>152</v>
      </c>
      <c r="CM12" s="62" t="s">
        <v>113</v>
      </c>
      <c r="CN12" s="62" t="s">
        <v>114</v>
      </c>
      <c r="CO12" s="62" t="s">
        <v>112</v>
      </c>
      <c r="CP12" s="61" t="s">
        <v>152</v>
      </c>
      <c r="CQ12" s="62" t="s">
        <v>113</v>
      </c>
      <c r="CR12" s="62" t="s">
        <v>114</v>
      </c>
    </row>
    <row r="13" spans="1:96" s="6" customFormat="1" ht="18.75" x14ac:dyDescent="0.25">
      <c r="A13" s="25">
        <v>200</v>
      </c>
      <c r="B13" s="11" t="e">
        <f t="shared" ref="B13:B28" si="0">VLOOKUP($A13,TAB,2,FALSE)</f>
        <v>#N/A</v>
      </c>
      <c r="C13" s="11" t="e">
        <f t="shared" ref="C13:C28" si="1">VLOOKUP($A13,TAB,4,FALSE)</f>
        <v>#N/A</v>
      </c>
      <c r="D13" s="11" t="e">
        <f t="shared" ref="D13:D28" si="2">VLOOKUP($A13,TAB,5,FALSE)</f>
        <v>#N/A</v>
      </c>
      <c r="E13" s="15" t="e">
        <f t="shared" ref="E13:E28" si="3">VLOOKUP($A13,TAB,8,FALSE)</f>
        <v>#N/A</v>
      </c>
      <c r="F13" s="26"/>
      <c r="G13" s="26" t="e">
        <f t="shared" ref="G13:G28" si="4">VLOOKUP($A13,TAB,70,FALSE)</f>
        <v>#N/A</v>
      </c>
      <c r="H13" s="26" t="e">
        <f t="shared" ref="H13:H28" si="5">VLOOKUP($A13,TAB,101,FALSE)</f>
        <v>#N/A</v>
      </c>
      <c r="I13" s="69"/>
      <c r="J13" s="70"/>
      <c r="K13" s="70"/>
      <c r="L13" s="70"/>
      <c r="M13" s="71"/>
      <c r="N13" s="70"/>
      <c r="O13" s="70"/>
      <c r="P13" s="70"/>
      <c r="Q13" s="25">
        <v>200</v>
      </c>
      <c r="R13" s="11" t="e">
        <f t="shared" ref="R13:R28" si="6">VLOOKUP($Q13,TAB,2,FALSE)</f>
        <v>#N/A</v>
      </c>
      <c r="S13" s="11" t="e">
        <f t="shared" ref="S13:S28" si="7">VLOOKUP($Q13,TAB,4,FALSE)</f>
        <v>#N/A</v>
      </c>
      <c r="T13" s="11" t="e">
        <f t="shared" ref="T13:T28" si="8">VLOOKUP($Q13,TAB,5,FALSE)</f>
        <v>#N/A</v>
      </c>
      <c r="U13" s="15" t="e">
        <f t="shared" ref="U13:U28" si="9">VLOOKUP($Q13,TAB,24,FALSE)</f>
        <v>#N/A</v>
      </c>
      <c r="V13" s="26" t="e">
        <f t="shared" ref="V13:V28" si="10">VLOOKUP($Q13,TAB,54,FALSE)</f>
        <v>#N/A</v>
      </c>
      <c r="W13" s="26" t="e">
        <f t="shared" ref="W13:W28" si="11">VLOOKUP($Q13,TAB,86,FALSE)</f>
        <v>#N/A</v>
      </c>
      <c r="X13" s="26" t="e">
        <f t="shared" ref="X13:X28" si="12">VLOOKUP($Q13,TAB,117,FALSE)</f>
        <v>#N/A</v>
      </c>
      <c r="Y13" s="15" t="e">
        <f t="shared" ref="Y13:Y28" si="13">VLOOKUP($Q13,TAB,25,FALSE)</f>
        <v>#N/A</v>
      </c>
      <c r="Z13" s="26" t="e">
        <f t="shared" ref="Z13:Z28" si="14">VLOOKUP($Q13,TAB,55,FALSE)</f>
        <v>#N/A</v>
      </c>
      <c r="AA13" s="26" t="e">
        <f t="shared" ref="AA13:AA28" si="15">VLOOKUP($Q13,TAB,87,FALSE)</f>
        <v>#N/A</v>
      </c>
      <c r="AB13" s="26" t="e">
        <f t="shared" ref="AB13:AB28" si="16">VLOOKUP($Q13,TAB,118,FALSE)</f>
        <v>#N/A</v>
      </c>
      <c r="AC13" s="15" t="e">
        <f t="shared" ref="AC13:AC28" si="17">VLOOKUP($Q13,TAB,26,FALSE)</f>
        <v>#N/A</v>
      </c>
      <c r="AD13" s="26" t="e">
        <f t="shared" ref="AD13:AD28" si="18">VLOOKUP($Q13,TAB,56,FALSE)</f>
        <v>#N/A</v>
      </c>
      <c r="AE13" s="26" t="e">
        <f t="shared" ref="AE13:AE28" si="19">VLOOKUP($Q13,TAB,88,FALSE)</f>
        <v>#N/A</v>
      </c>
      <c r="AF13" s="26" t="e">
        <f t="shared" ref="AF13:AF28" si="20">VLOOKUP($Q13,TAB,119,FALSE)</f>
        <v>#N/A</v>
      </c>
      <c r="AG13" s="25">
        <v>200</v>
      </c>
      <c r="AH13" s="11" t="e">
        <f t="shared" ref="AH13:AH28" si="21">VLOOKUP($AG13,TAB,2,FALSE)</f>
        <v>#N/A</v>
      </c>
      <c r="AI13" s="11" t="e">
        <f t="shared" ref="AI13:AI28" si="22">VLOOKUP($AG13,TAB,4,FALSE)</f>
        <v>#N/A</v>
      </c>
      <c r="AJ13" s="11" t="e">
        <f t="shared" ref="AJ13:AJ28" si="23">VLOOKUP($AG13,TAB,3,FALSE)</f>
        <v>#N/A</v>
      </c>
      <c r="AK13" s="15" t="e">
        <f t="shared" ref="AK13:AK28" si="24">VLOOKUP($AG13,TAB,27,FALSE)</f>
        <v>#N/A</v>
      </c>
      <c r="AL13" s="26" t="e">
        <f t="shared" ref="AL13:AL28" si="25">VLOOKUP($AG13,TAB,57,FALSE)</f>
        <v>#N/A</v>
      </c>
      <c r="AM13" s="26" t="e">
        <f t="shared" ref="AM13:AM28" si="26">VLOOKUP($AG13,TAB,89,FALSE)</f>
        <v>#N/A</v>
      </c>
      <c r="AN13" s="26" t="e">
        <f t="shared" ref="AN13:AN28" si="27">VLOOKUP($AG13,TAB,120,FALSE)</f>
        <v>#N/A</v>
      </c>
      <c r="AO13" s="15" t="e">
        <f t="shared" ref="AO13:AO28" si="28">VLOOKUP($AG13,TAB,28,FALSE)</f>
        <v>#N/A</v>
      </c>
      <c r="AP13" s="26" t="e">
        <f t="shared" ref="AP13:AP28" si="29">VLOOKUP($AG13,TAB,58,FALSE)</f>
        <v>#N/A</v>
      </c>
      <c r="AQ13" s="26" t="e">
        <f t="shared" ref="AQ13:AQ28" si="30">VLOOKUP($AG13,TAB,90,FALSE)</f>
        <v>#N/A</v>
      </c>
      <c r="AR13" s="26" t="e">
        <f t="shared" ref="AR13:AR28" si="31">VLOOKUP($AG13,TAB,121,FALSE)</f>
        <v>#N/A</v>
      </c>
      <c r="AS13" s="15" t="e">
        <f t="shared" ref="AS13:AS28" si="32">VLOOKUP($AG13,TAB,29,FALSE)</f>
        <v>#N/A</v>
      </c>
      <c r="AT13" s="26" t="e">
        <f t="shared" ref="AT13:AT28" si="33">VLOOKUP($AG13,TAB,59,FALSE)</f>
        <v>#N/A</v>
      </c>
      <c r="AU13" s="26" t="e">
        <f t="shared" ref="AU13:AU28" si="34">VLOOKUP($AG13,TAB,90,FALSE)</f>
        <v>#N/A</v>
      </c>
      <c r="AV13" s="26" t="e">
        <f t="shared" ref="AV13:AV28" si="35">VLOOKUP($AG13,TAB,122,FALSE)</f>
        <v>#N/A</v>
      </c>
      <c r="AW13" s="25">
        <v>200</v>
      </c>
      <c r="AX13" s="11" t="e">
        <f t="shared" ref="AX13:AX28" si="36">VLOOKUP($AW13,TAB,2,FALSE)</f>
        <v>#N/A</v>
      </c>
      <c r="AY13" s="11" t="e">
        <f t="shared" ref="AY13:AY28" si="37">VLOOKUP($AW13,TAB,4,FALSE)</f>
        <v>#N/A</v>
      </c>
      <c r="AZ13" s="11" t="e">
        <f t="shared" ref="AZ13:AZ28" si="38">VLOOKUP($AW13,TAB,5,FALSE)</f>
        <v>#N/A</v>
      </c>
      <c r="BA13" s="15" t="e">
        <f t="shared" ref="BA13:BA28" si="39">VLOOKUP($AW13,TAB,30,FALSE)</f>
        <v>#N/A</v>
      </c>
      <c r="BB13" s="26" t="e">
        <f t="shared" ref="BB13:BB28" si="40">VLOOKUP($AW13,TAB,60,FALSE)</f>
        <v>#N/A</v>
      </c>
      <c r="BC13" s="26" t="e">
        <f t="shared" ref="BC13:BC28" si="41">VLOOKUP($AW13,TAB,92,FALSE)</f>
        <v>#N/A</v>
      </c>
      <c r="BD13" s="26" t="e">
        <f t="shared" ref="BD13:BD28" si="42">VLOOKUP($AW13,TAB,123,FALSE)</f>
        <v>#N/A</v>
      </c>
      <c r="BE13" s="15" t="e">
        <f t="shared" ref="BE13:BE28" si="43">VLOOKUP($AW13,TAB,31,FALSE)</f>
        <v>#N/A</v>
      </c>
      <c r="BF13" s="26" t="e">
        <f t="shared" ref="BF13:BF28" si="44">VLOOKUP($AW13,TAB,61,FALSE)</f>
        <v>#N/A</v>
      </c>
      <c r="BG13" s="26" t="e">
        <f t="shared" ref="BG13:BG28" si="45">VLOOKUP($AW13,TAB,93,FALSE)</f>
        <v>#N/A</v>
      </c>
      <c r="BH13" s="26" t="e">
        <f t="shared" ref="BH13:BH28" si="46">VLOOKUP($AW13,TAB,124,FALSE)</f>
        <v>#N/A</v>
      </c>
      <c r="BI13" s="15" t="e">
        <f t="shared" ref="BI13:BI28" si="47">VLOOKUP($AW13,TAB,32,FALSE)</f>
        <v>#N/A</v>
      </c>
      <c r="BJ13" s="26" t="e">
        <f t="shared" ref="BJ13:BJ28" si="48">VLOOKUP($AW13,TAB,62,FALSE)</f>
        <v>#N/A</v>
      </c>
      <c r="BK13" s="26" t="e">
        <f t="shared" ref="BK13:BK28" si="49">VLOOKUP($AW13,TAB,94,FALSE)</f>
        <v>#N/A</v>
      </c>
      <c r="BL13" s="26" t="e">
        <f t="shared" ref="BL13:BL28" si="50">VLOOKUP($AW13,TAB,125,FALSE)</f>
        <v>#N/A</v>
      </c>
      <c r="BM13" s="25">
        <v>200</v>
      </c>
      <c r="BN13" s="11" t="e">
        <f t="shared" ref="BN13:BN28" si="51">VLOOKUP($BM13,TAB,2,FALSE)</f>
        <v>#N/A</v>
      </c>
      <c r="BO13" s="11" t="e">
        <f t="shared" ref="BO13:BO28" si="52">VLOOKUP($BM13,TAB,4,FALSE)</f>
        <v>#N/A</v>
      </c>
      <c r="BP13" s="11" t="e">
        <f t="shared" ref="BP13:BP28" si="53">VLOOKUP($BM13,TAB,5,FALSE)</f>
        <v>#N/A</v>
      </c>
      <c r="BQ13" s="15" t="e">
        <f t="shared" ref="BQ13:BQ28" si="54">VLOOKUP($BM13,TAB,33,FALSE)</f>
        <v>#N/A</v>
      </c>
      <c r="BR13" s="26" t="e">
        <f t="shared" ref="BR13:BR28" si="55">VLOOKUP($BM13,TAB,63,FALSE)</f>
        <v>#N/A</v>
      </c>
      <c r="BS13" s="26" t="e">
        <f t="shared" ref="BS13:BS28" si="56">VLOOKUP($BM13,TAB,95,FALSE)</f>
        <v>#N/A</v>
      </c>
      <c r="BT13" s="26" t="e">
        <f t="shared" ref="BT13:BT28" si="57">VLOOKUP($BM13,TAB,126,FALSE)</f>
        <v>#N/A</v>
      </c>
      <c r="BU13" s="15" t="e">
        <f t="shared" ref="BU13:BU28" si="58">VLOOKUP($BM13,TAB,34,FALSE)</f>
        <v>#N/A</v>
      </c>
      <c r="BV13" s="26" t="e">
        <f t="shared" ref="BV13:BV28" si="59">VLOOKUP($BM13,TAB,64,FALSE)</f>
        <v>#N/A</v>
      </c>
      <c r="BW13" s="26" t="e">
        <f t="shared" ref="BW13:BW28" si="60">VLOOKUP($BM13,TAB,96,FALSE)</f>
        <v>#N/A</v>
      </c>
      <c r="BX13" s="26" t="e">
        <f t="shared" ref="BX13:BX28" si="61">VLOOKUP($BM13,TAB,127,FALSE)</f>
        <v>#N/A</v>
      </c>
      <c r="BY13" s="15" t="e">
        <f t="shared" ref="BY13:BY28" si="62">VLOOKUP($BM13,TAB,35,FALSE)</f>
        <v>#N/A</v>
      </c>
      <c r="BZ13" s="26" t="e">
        <f t="shared" ref="BZ13:BZ28" si="63">VLOOKUP($BM13,TAB,65,FALSE)</f>
        <v>#N/A</v>
      </c>
      <c r="CA13" s="26" t="e">
        <f t="shared" ref="CA13:CA28" si="64">VLOOKUP($BM13,TAB,97,FALSE)</f>
        <v>#N/A</v>
      </c>
      <c r="CB13" s="26" t="e">
        <f t="shared" ref="CB13:CB28" si="65">VLOOKUP($BM13,TAB,128,FALSE)</f>
        <v>#N/A</v>
      </c>
      <c r="CC13" s="25">
        <v>200</v>
      </c>
      <c r="CD13" s="11" t="e">
        <f t="shared" ref="CD13:CD28" si="66">VLOOKUP($CC13,TAB,2,FALSE)</f>
        <v>#N/A</v>
      </c>
      <c r="CE13" s="11" t="e">
        <f t="shared" ref="CE13:CE28" si="67">VLOOKUP($CC13,TAB,4,FALSE)</f>
        <v>#N/A</v>
      </c>
      <c r="CF13" s="11" t="e">
        <f t="shared" ref="CF13:CF28" si="68">VLOOKUP($CC13,TAB,5,FALSE)</f>
        <v>#N/A</v>
      </c>
      <c r="CG13" s="15" t="e">
        <f t="shared" ref="CG13:CG28" si="69">VLOOKUP($CC13,TAB,36,FALSE)</f>
        <v>#N/A</v>
      </c>
      <c r="CH13" s="26" t="e">
        <f t="shared" ref="CH13:CH28" si="70">VLOOKUP($CC13,TAB,66,FALSE)</f>
        <v>#N/A</v>
      </c>
      <c r="CI13" s="26" t="e">
        <f t="shared" ref="CI13:CI28" si="71">VLOOKUP($CC13,TAB,98,FALSE)</f>
        <v>#N/A</v>
      </c>
      <c r="CJ13" s="26" t="e">
        <f t="shared" ref="CJ13:CJ28" si="72">VLOOKUP($CC13,TAB,129,FALSE)</f>
        <v>#N/A</v>
      </c>
      <c r="CK13" s="15" t="e">
        <f t="shared" ref="CK13:CK28" si="73">VLOOKUP($CC13,TAB,37,FALSE)</f>
        <v>#N/A</v>
      </c>
      <c r="CL13" s="26" t="e">
        <f t="shared" ref="CL13:CL28" si="74">VLOOKUP($CC13,TAB,67,FALSE)</f>
        <v>#N/A</v>
      </c>
      <c r="CM13" s="26" t="e">
        <f t="shared" ref="CM13:CM28" si="75">VLOOKUP($CC13,TAB,99,FALSE)</f>
        <v>#N/A</v>
      </c>
      <c r="CN13" s="26" t="e">
        <f t="shared" ref="CN13:CN28" si="76">VLOOKUP($CC13,TAB,130,FALSE)</f>
        <v>#N/A</v>
      </c>
      <c r="CO13" s="15" t="e">
        <f t="shared" ref="CO13:CO28" si="77">VLOOKUP($CC13,TAB,38,FALSE)</f>
        <v>#N/A</v>
      </c>
      <c r="CP13" s="26" t="e">
        <f t="shared" ref="CP13:CP28" si="78">VLOOKUP($CC13,TAB,68,FALSE)</f>
        <v>#N/A</v>
      </c>
      <c r="CQ13" s="26" t="e">
        <f t="shared" ref="CQ13:CQ28" si="79">VLOOKUP($CC13,TAB,100,FALSE)</f>
        <v>#N/A</v>
      </c>
      <c r="CR13" s="26" t="e">
        <f t="shared" ref="CR13:CR28" si="80">VLOOKUP($CC13,TAB,131,FALSE)</f>
        <v>#N/A</v>
      </c>
    </row>
    <row r="14" spans="1:96" s="6" customFormat="1" ht="60" x14ac:dyDescent="0.25">
      <c r="A14" s="25">
        <v>201</v>
      </c>
      <c r="B14" s="11" t="str">
        <f t="shared" si="0"/>
        <v>Бикбулатов Илья Аликович
Стахеев Андрей Владимирович</v>
      </c>
      <c r="C14" s="11" t="str">
        <f t="shared" si="1"/>
        <v>Первоуральск
Первоуральск</v>
      </c>
      <c r="D14" s="11" t="str">
        <f t="shared" si="2"/>
        <v>УАЗ 31512</v>
      </c>
      <c r="E14" s="15">
        <f t="shared" si="3"/>
        <v>4.1666666666666666E-3</v>
      </c>
      <c r="F14" s="26"/>
      <c r="G14" s="26">
        <f t="shared" si="4"/>
        <v>81</v>
      </c>
      <c r="H14" s="26">
        <f t="shared" si="5"/>
        <v>81</v>
      </c>
      <c r="I14" s="69"/>
      <c r="J14" s="70"/>
      <c r="K14" s="70"/>
      <c r="L14" s="70"/>
      <c r="M14" s="71"/>
      <c r="N14" s="70"/>
      <c r="O14" s="70"/>
      <c r="P14" s="70"/>
      <c r="Q14" s="25">
        <v>201</v>
      </c>
      <c r="R14" s="11" t="str">
        <f t="shared" si="6"/>
        <v>Бикбулатов Илья Аликович
Стахеев Андрей Владимирович</v>
      </c>
      <c r="S14" s="11" t="str">
        <f t="shared" si="7"/>
        <v>Первоуральск
Первоуральск</v>
      </c>
      <c r="T14" s="11" t="str">
        <f t="shared" si="8"/>
        <v>УАЗ 31512</v>
      </c>
      <c r="U14" s="15">
        <f t="shared" si="9"/>
        <v>3.8541666666666668E-3</v>
      </c>
      <c r="V14" s="26">
        <f t="shared" si="10"/>
        <v>0</v>
      </c>
      <c r="W14" s="26">
        <f t="shared" si="11"/>
        <v>87</v>
      </c>
      <c r="X14" s="26">
        <f t="shared" si="12"/>
        <v>87</v>
      </c>
      <c r="Y14" s="15">
        <f t="shared" si="13"/>
        <v>0</v>
      </c>
      <c r="Z14" s="26">
        <f t="shared" si="14"/>
        <v>0</v>
      </c>
      <c r="AA14" s="26">
        <f t="shared" si="15"/>
        <v>0</v>
      </c>
      <c r="AB14" s="26">
        <f t="shared" si="16"/>
        <v>0</v>
      </c>
      <c r="AC14" s="15">
        <f t="shared" si="17"/>
        <v>0</v>
      </c>
      <c r="AD14" s="26">
        <f t="shared" si="18"/>
        <v>0</v>
      </c>
      <c r="AE14" s="26">
        <f t="shared" si="19"/>
        <v>0</v>
      </c>
      <c r="AF14" s="26">
        <f t="shared" si="20"/>
        <v>0</v>
      </c>
      <c r="AG14" s="25">
        <v>201</v>
      </c>
      <c r="AH14" s="11" t="str">
        <f t="shared" si="21"/>
        <v>Бикбулатов Илья Аликович
Стахеев Андрей Владимирович</v>
      </c>
      <c r="AI14" s="11" t="str">
        <f t="shared" si="22"/>
        <v>Первоуральск
Первоуральск</v>
      </c>
      <c r="AJ14" s="11" t="str">
        <f t="shared" si="23"/>
        <v>183629
183930</v>
      </c>
      <c r="AK14" s="15" t="str">
        <f t="shared" si="24"/>
        <v>DNF</v>
      </c>
      <c r="AL14" s="26">
        <f t="shared" si="25"/>
        <v>0</v>
      </c>
      <c r="AM14" s="26">
        <f t="shared" si="26"/>
        <v>20</v>
      </c>
      <c r="AN14" s="26">
        <f t="shared" si="27"/>
        <v>20</v>
      </c>
      <c r="AO14" s="15">
        <f t="shared" si="28"/>
        <v>3.3564814814814811E-3</v>
      </c>
      <c r="AP14" s="26">
        <f t="shared" si="29"/>
        <v>10</v>
      </c>
      <c r="AQ14" s="26">
        <f t="shared" si="30"/>
        <v>90</v>
      </c>
      <c r="AR14" s="26">
        <f t="shared" si="31"/>
        <v>80</v>
      </c>
      <c r="AS14" s="15">
        <f t="shared" si="32"/>
        <v>0</v>
      </c>
      <c r="AT14" s="26">
        <f t="shared" si="33"/>
        <v>0</v>
      </c>
      <c r="AU14" s="26">
        <f t="shared" si="34"/>
        <v>90</v>
      </c>
      <c r="AV14" s="26">
        <f t="shared" si="35"/>
        <v>0</v>
      </c>
      <c r="AW14" s="25">
        <v>201</v>
      </c>
      <c r="AX14" s="11" t="str">
        <f t="shared" si="36"/>
        <v>Бикбулатов Илья Аликович
Стахеев Андрей Владимирович</v>
      </c>
      <c r="AY14" s="11" t="str">
        <f t="shared" si="37"/>
        <v>Первоуральск
Первоуральск</v>
      </c>
      <c r="AZ14" s="11" t="str">
        <f t="shared" si="38"/>
        <v>УАЗ 31512</v>
      </c>
      <c r="BA14" s="15">
        <f t="shared" si="39"/>
        <v>0</v>
      </c>
      <c r="BB14" s="26">
        <f t="shared" si="40"/>
        <v>0</v>
      </c>
      <c r="BC14" s="26">
        <f t="shared" si="41"/>
        <v>0</v>
      </c>
      <c r="BD14" s="26">
        <f t="shared" si="42"/>
        <v>0</v>
      </c>
      <c r="BE14" s="15">
        <f t="shared" si="43"/>
        <v>3.8071759259259257E-3</v>
      </c>
      <c r="BF14" s="26">
        <f t="shared" si="44"/>
        <v>0</v>
      </c>
      <c r="BG14" s="26">
        <f t="shared" si="45"/>
        <v>87</v>
      </c>
      <c r="BH14" s="26">
        <f t="shared" si="46"/>
        <v>87</v>
      </c>
      <c r="BI14" s="15">
        <f t="shared" si="47"/>
        <v>0</v>
      </c>
      <c r="BJ14" s="26">
        <f t="shared" si="48"/>
        <v>0</v>
      </c>
      <c r="BK14" s="26">
        <f t="shared" si="49"/>
        <v>0</v>
      </c>
      <c r="BL14" s="26">
        <f t="shared" si="50"/>
        <v>0</v>
      </c>
      <c r="BM14" s="25">
        <v>201</v>
      </c>
      <c r="BN14" s="11" t="str">
        <f t="shared" si="51"/>
        <v>Бикбулатов Илья Аликович
Стахеев Андрей Владимирович</v>
      </c>
      <c r="BO14" s="11" t="str">
        <f t="shared" si="52"/>
        <v>Первоуральск
Первоуральск</v>
      </c>
      <c r="BP14" s="11" t="str">
        <f t="shared" si="53"/>
        <v>УАЗ 31512</v>
      </c>
      <c r="BQ14" s="15" t="str">
        <f t="shared" si="54"/>
        <v>DNF</v>
      </c>
      <c r="BR14" s="26">
        <f t="shared" si="55"/>
        <v>0</v>
      </c>
      <c r="BS14" s="26">
        <f t="shared" si="56"/>
        <v>20</v>
      </c>
      <c r="BT14" s="26">
        <f t="shared" si="57"/>
        <v>20</v>
      </c>
      <c r="BU14" s="15">
        <f t="shared" si="58"/>
        <v>5.7407407407407416E-3</v>
      </c>
      <c r="BV14" s="26">
        <f t="shared" si="59"/>
        <v>30</v>
      </c>
      <c r="BW14" s="26">
        <f t="shared" si="60"/>
        <v>84</v>
      </c>
      <c r="BX14" s="26">
        <f t="shared" si="61"/>
        <v>54</v>
      </c>
      <c r="BY14" s="15" t="str">
        <f t="shared" si="62"/>
        <v>DNF</v>
      </c>
      <c r="BZ14" s="26">
        <f t="shared" si="63"/>
        <v>0</v>
      </c>
      <c r="CA14" s="26">
        <f t="shared" si="64"/>
        <v>20</v>
      </c>
      <c r="CB14" s="26">
        <f t="shared" si="65"/>
        <v>20</v>
      </c>
      <c r="CC14" s="25">
        <v>201</v>
      </c>
      <c r="CD14" s="11" t="str">
        <f t="shared" si="66"/>
        <v>Бикбулатов Илья Аликович
Стахеев Андрей Владимирович</v>
      </c>
      <c r="CE14" s="11" t="str">
        <f t="shared" si="67"/>
        <v>Первоуральск
Первоуральск</v>
      </c>
      <c r="CF14" s="11" t="str">
        <f t="shared" si="68"/>
        <v>УАЗ 31512</v>
      </c>
      <c r="CG14" s="15">
        <f t="shared" si="69"/>
        <v>5.162037037037037E-3</v>
      </c>
      <c r="CH14" s="26">
        <f t="shared" si="70"/>
        <v>0</v>
      </c>
      <c r="CI14" s="26">
        <f t="shared" si="71"/>
        <v>87</v>
      </c>
      <c r="CJ14" s="26">
        <f t="shared" si="72"/>
        <v>87</v>
      </c>
      <c r="CK14" s="15">
        <f t="shared" si="73"/>
        <v>0</v>
      </c>
      <c r="CL14" s="26">
        <f t="shared" si="74"/>
        <v>0</v>
      </c>
      <c r="CM14" s="26">
        <f t="shared" si="75"/>
        <v>0</v>
      </c>
      <c r="CN14" s="26">
        <f t="shared" si="76"/>
        <v>0</v>
      </c>
      <c r="CO14" s="15">
        <f t="shared" si="77"/>
        <v>0</v>
      </c>
      <c r="CP14" s="26">
        <f t="shared" si="78"/>
        <v>0</v>
      </c>
      <c r="CQ14" s="26">
        <f t="shared" si="79"/>
        <v>0</v>
      </c>
      <c r="CR14" s="26">
        <f t="shared" si="80"/>
        <v>0</v>
      </c>
    </row>
    <row r="15" spans="1:96" s="6" customFormat="1" ht="60" x14ac:dyDescent="0.25">
      <c r="A15" s="25">
        <v>202</v>
      </c>
      <c r="B15" s="11" t="str">
        <f t="shared" si="0"/>
        <v>Клейн Александр Алексеевич
Манион Сергей Игоревич</v>
      </c>
      <c r="C15" s="11" t="str">
        <f t="shared" si="1"/>
        <v>Екатеринбург
Екатеринбург</v>
      </c>
      <c r="D15" s="11" t="str">
        <f t="shared" si="2"/>
        <v>TLC 70</v>
      </c>
      <c r="E15" s="15">
        <f t="shared" si="3"/>
        <v>1.3888888888888889E-3</v>
      </c>
      <c r="F15" s="26"/>
      <c r="G15" s="26">
        <f t="shared" si="4"/>
        <v>95</v>
      </c>
      <c r="H15" s="26">
        <f t="shared" si="5"/>
        <v>95</v>
      </c>
      <c r="I15" s="69"/>
      <c r="J15" s="70"/>
      <c r="K15" s="70"/>
      <c r="L15" s="70"/>
      <c r="M15" s="71"/>
      <c r="N15" s="70"/>
      <c r="O15" s="70"/>
      <c r="P15" s="70"/>
      <c r="Q15" s="25">
        <v>202</v>
      </c>
      <c r="R15" s="11" t="str">
        <f t="shared" si="6"/>
        <v>Клейн Александр Алексеевич
Манион Сергей Игоревич</v>
      </c>
      <c r="S15" s="11" t="str">
        <f t="shared" si="7"/>
        <v>Екатеринбург
Екатеринбург</v>
      </c>
      <c r="T15" s="11" t="str">
        <f t="shared" si="8"/>
        <v>TLC 70</v>
      </c>
      <c r="U15" s="15">
        <f t="shared" si="9"/>
        <v>3.0902777777777782E-3</v>
      </c>
      <c r="V15" s="26">
        <f t="shared" si="10"/>
        <v>0</v>
      </c>
      <c r="W15" s="26">
        <f t="shared" si="11"/>
        <v>90</v>
      </c>
      <c r="X15" s="26">
        <f t="shared" si="12"/>
        <v>90</v>
      </c>
      <c r="Y15" s="15">
        <f t="shared" si="13"/>
        <v>2.0717592592592593E-3</v>
      </c>
      <c r="Z15" s="26">
        <f t="shared" si="14"/>
        <v>0</v>
      </c>
      <c r="AA15" s="26">
        <f t="shared" si="15"/>
        <v>84</v>
      </c>
      <c r="AB15" s="26">
        <f t="shared" si="16"/>
        <v>84</v>
      </c>
      <c r="AC15" s="15">
        <f t="shared" si="17"/>
        <v>3.0924768518518515E-3</v>
      </c>
      <c r="AD15" s="26">
        <f t="shared" si="18"/>
        <v>0</v>
      </c>
      <c r="AE15" s="26">
        <f t="shared" si="19"/>
        <v>95</v>
      </c>
      <c r="AF15" s="26">
        <f t="shared" si="20"/>
        <v>95</v>
      </c>
      <c r="AG15" s="25">
        <v>202</v>
      </c>
      <c r="AH15" s="11" t="str">
        <f t="shared" si="21"/>
        <v>Клейн Александр Алексеевич
Манион Сергей Игоревич</v>
      </c>
      <c r="AI15" s="11" t="str">
        <f t="shared" si="22"/>
        <v>Екатеринбург
Екатеринбург</v>
      </c>
      <c r="AJ15" s="11" t="str">
        <f t="shared" si="23"/>
        <v>D 170740</v>
      </c>
      <c r="AK15" s="15">
        <f t="shared" si="24"/>
        <v>6.5162037037037037E-3</v>
      </c>
      <c r="AL15" s="26">
        <f t="shared" si="25"/>
        <v>0</v>
      </c>
      <c r="AM15" s="26">
        <f t="shared" si="26"/>
        <v>90</v>
      </c>
      <c r="AN15" s="26">
        <f t="shared" si="27"/>
        <v>90</v>
      </c>
      <c r="AO15" s="15">
        <f t="shared" si="28"/>
        <v>2.7777777777777779E-3</v>
      </c>
      <c r="AP15" s="26">
        <f t="shared" si="29"/>
        <v>0</v>
      </c>
      <c r="AQ15" s="26">
        <f t="shared" si="30"/>
        <v>100</v>
      </c>
      <c r="AR15" s="26">
        <f t="shared" si="31"/>
        <v>100</v>
      </c>
      <c r="AS15" s="15">
        <f t="shared" si="32"/>
        <v>2.2370370370370369E-3</v>
      </c>
      <c r="AT15" s="26">
        <f t="shared" si="33"/>
        <v>0</v>
      </c>
      <c r="AU15" s="26">
        <f t="shared" si="34"/>
        <v>100</v>
      </c>
      <c r="AV15" s="26">
        <f t="shared" si="35"/>
        <v>95</v>
      </c>
      <c r="AW15" s="25">
        <v>202</v>
      </c>
      <c r="AX15" s="11" t="str">
        <f t="shared" si="36"/>
        <v>Клейн Александр Алексеевич
Манион Сергей Игоревич</v>
      </c>
      <c r="AY15" s="11" t="str">
        <f t="shared" si="37"/>
        <v>Екатеринбург
Екатеринбург</v>
      </c>
      <c r="AZ15" s="11" t="str">
        <f t="shared" si="38"/>
        <v>TLC 70</v>
      </c>
      <c r="BA15" s="15">
        <f t="shared" si="39"/>
        <v>4.4444444444444444E-3</v>
      </c>
      <c r="BB15" s="26">
        <f t="shared" si="40"/>
        <v>0</v>
      </c>
      <c r="BC15" s="26">
        <f t="shared" si="41"/>
        <v>100</v>
      </c>
      <c r="BD15" s="26">
        <f t="shared" si="42"/>
        <v>100</v>
      </c>
      <c r="BE15" s="15">
        <f t="shared" si="43"/>
        <v>1.4605324074074076E-3</v>
      </c>
      <c r="BF15" s="26">
        <f t="shared" si="44"/>
        <v>0</v>
      </c>
      <c r="BG15" s="26">
        <f t="shared" si="45"/>
        <v>95</v>
      </c>
      <c r="BH15" s="26">
        <f t="shared" si="46"/>
        <v>95</v>
      </c>
      <c r="BI15" s="15">
        <f t="shared" si="47"/>
        <v>2.7777777777777779E-3</v>
      </c>
      <c r="BJ15" s="26">
        <f t="shared" si="48"/>
        <v>0</v>
      </c>
      <c r="BK15" s="26">
        <f t="shared" si="49"/>
        <v>84</v>
      </c>
      <c r="BL15" s="26">
        <f t="shared" si="50"/>
        <v>84</v>
      </c>
      <c r="BM15" s="25">
        <v>202</v>
      </c>
      <c r="BN15" s="11" t="str">
        <f t="shared" si="51"/>
        <v>Клейн Александр Алексеевич
Манион Сергей Игоревич</v>
      </c>
      <c r="BO15" s="11" t="str">
        <f t="shared" si="52"/>
        <v>Екатеринбург
Екатеринбург</v>
      </c>
      <c r="BP15" s="11" t="str">
        <f t="shared" si="53"/>
        <v>TLC 70</v>
      </c>
      <c r="BQ15" s="15">
        <f t="shared" si="54"/>
        <v>4.2476851851851851E-3</v>
      </c>
      <c r="BR15" s="26">
        <f t="shared" si="55"/>
        <v>10</v>
      </c>
      <c r="BS15" s="26">
        <f t="shared" si="56"/>
        <v>100</v>
      </c>
      <c r="BT15" s="26">
        <f t="shared" si="57"/>
        <v>90</v>
      </c>
      <c r="BU15" s="15">
        <f t="shared" si="58"/>
        <v>1.2962962962962963E-3</v>
      </c>
      <c r="BV15" s="26">
        <f t="shared" si="59"/>
        <v>0</v>
      </c>
      <c r="BW15" s="26">
        <f t="shared" si="60"/>
        <v>100</v>
      </c>
      <c r="BX15" s="26">
        <f t="shared" si="61"/>
        <v>100</v>
      </c>
      <c r="BY15" s="15">
        <f t="shared" si="62"/>
        <v>3.4606481481481485E-3</v>
      </c>
      <c r="BZ15" s="26">
        <f t="shared" si="63"/>
        <v>0</v>
      </c>
      <c r="CA15" s="26">
        <f t="shared" si="64"/>
        <v>95</v>
      </c>
      <c r="CB15" s="26">
        <f t="shared" si="65"/>
        <v>95</v>
      </c>
      <c r="CC15" s="25">
        <v>202</v>
      </c>
      <c r="CD15" s="11" t="str">
        <f t="shared" si="66"/>
        <v>Клейн Александр Алексеевич
Манион Сергей Игоревич</v>
      </c>
      <c r="CE15" s="11" t="str">
        <f t="shared" si="67"/>
        <v>Екатеринбург
Екатеринбург</v>
      </c>
      <c r="CF15" s="11" t="str">
        <f t="shared" si="68"/>
        <v>TLC 70</v>
      </c>
      <c r="CG15" s="15">
        <f t="shared" si="69"/>
        <v>3.0439814814814821E-3</v>
      </c>
      <c r="CH15" s="26">
        <f t="shared" si="70"/>
        <v>0</v>
      </c>
      <c r="CI15" s="26">
        <f t="shared" si="71"/>
        <v>100</v>
      </c>
      <c r="CJ15" s="26">
        <f t="shared" si="72"/>
        <v>100</v>
      </c>
      <c r="CK15" s="15">
        <f t="shared" si="73"/>
        <v>6.1574074074074074E-3</v>
      </c>
      <c r="CL15" s="26">
        <f t="shared" si="74"/>
        <v>0</v>
      </c>
      <c r="CM15" s="26">
        <f t="shared" si="75"/>
        <v>90</v>
      </c>
      <c r="CN15" s="26">
        <f t="shared" si="76"/>
        <v>90</v>
      </c>
      <c r="CO15" s="15">
        <f t="shared" si="77"/>
        <v>0</v>
      </c>
      <c r="CP15" s="26">
        <f t="shared" si="78"/>
        <v>0</v>
      </c>
      <c r="CQ15" s="26">
        <f t="shared" si="79"/>
        <v>0</v>
      </c>
      <c r="CR15" s="26">
        <f t="shared" si="80"/>
        <v>0</v>
      </c>
    </row>
    <row r="16" spans="1:96" s="6" customFormat="1" ht="60" x14ac:dyDescent="0.25">
      <c r="A16" s="25">
        <v>203</v>
      </c>
      <c r="B16" s="11" t="str">
        <f t="shared" si="0"/>
        <v>Павелин Евгений Модестович
Давыдов Сергей Владимирович</v>
      </c>
      <c r="C16" s="11" t="str">
        <f t="shared" si="1"/>
        <v>Екатеринбург
Екатеринбург</v>
      </c>
      <c r="D16" s="11" t="str">
        <f t="shared" si="2"/>
        <v>TLC 70</v>
      </c>
      <c r="E16" s="15">
        <f t="shared" si="3"/>
        <v>2.0833333333333333E-3</v>
      </c>
      <c r="F16" s="26"/>
      <c r="G16" s="26">
        <f t="shared" si="4"/>
        <v>90</v>
      </c>
      <c r="H16" s="26">
        <f t="shared" si="5"/>
        <v>90</v>
      </c>
      <c r="I16" s="69"/>
      <c r="J16" s="70"/>
      <c r="K16" s="70"/>
      <c r="L16" s="70"/>
      <c r="M16" s="71"/>
      <c r="N16" s="70"/>
      <c r="O16" s="70"/>
      <c r="P16" s="70"/>
      <c r="Q16" s="25">
        <v>203</v>
      </c>
      <c r="R16" s="11" t="str">
        <f t="shared" si="6"/>
        <v>Павелин Евгений Модестович
Давыдов Сергей Владимирович</v>
      </c>
      <c r="S16" s="11" t="str">
        <f t="shared" si="7"/>
        <v>Екатеринбург
Екатеринбург</v>
      </c>
      <c r="T16" s="11" t="str">
        <f t="shared" si="8"/>
        <v>TLC 70</v>
      </c>
      <c r="U16" s="15">
        <f t="shared" si="9"/>
        <v>0</v>
      </c>
      <c r="V16" s="26">
        <f t="shared" si="10"/>
        <v>0</v>
      </c>
      <c r="W16" s="26">
        <f t="shared" si="11"/>
        <v>0</v>
      </c>
      <c r="X16" s="26">
        <f t="shared" si="12"/>
        <v>0</v>
      </c>
      <c r="Y16" s="15">
        <f t="shared" si="13"/>
        <v>2.1412037037037038E-3</v>
      </c>
      <c r="Z16" s="26">
        <f t="shared" si="14"/>
        <v>0</v>
      </c>
      <c r="AA16" s="26">
        <f t="shared" si="15"/>
        <v>81</v>
      </c>
      <c r="AB16" s="26">
        <f t="shared" si="16"/>
        <v>81</v>
      </c>
      <c r="AC16" s="15" t="str">
        <f t="shared" si="17"/>
        <v>DNF</v>
      </c>
      <c r="AD16" s="26">
        <f t="shared" si="18"/>
        <v>0</v>
      </c>
      <c r="AE16" s="26">
        <f t="shared" si="19"/>
        <v>20</v>
      </c>
      <c r="AF16" s="26">
        <f t="shared" si="20"/>
        <v>20</v>
      </c>
      <c r="AG16" s="25">
        <v>203</v>
      </c>
      <c r="AH16" s="11" t="str">
        <f t="shared" si="21"/>
        <v>Павелин Евгений Модестович
Давыдов Сергей Владимирович</v>
      </c>
      <c r="AI16" s="11" t="str">
        <f t="shared" si="22"/>
        <v>Екатеринбург
Екатеринбург</v>
      </c>
      <c r="AJ16" s="11" t="str">
        <f t="shared" si="23"/>
        <v>есть
есть</v>
      </c>
      <c r="AK16" s="15">
        <f t="shared" si="24"/>
        <v>0</v>
      </c>
      <c r="AL16" s="26">
        <f t="shared" si="25"/>
        <v>0</v>
      </c>
      <c r="AM16" s="26">
        <f t="shared" si="26"/>
        <v>0</v>
      </c>
      <c r="AN16" s="26">
        <f t="shared" si="27"/>
        <v>0</v>
      </c>
      <c r="AO16" s="15">
        <f t="shared" si="28"/>
        <v>0</v>
      </c>
      <c r="AP16" s="26">
        <f t="shared" si="29"/>
        <v>0</v>
      </c>
      <c r="AQ16" s="26">
        <f t="shared" si="30"/>
        <v>0</v>
      </c>
      <c r="AR16" s="26">
        <f t="shared" si="31"/>
        <v>0</v>
      </c>
      <c r="AS16" s="15" t="str">
        <f t="shared" si="32"/>
        <v>DNF</v>
      </c>
      <c r="AT16" s="26">
        <f t="shared" si="33"/>
        <v>0</v>
      </c>
      <c r="AU16" s="26">
        <f t="shared" si="34"/>
        <v>0</v>
      </c>
      <c r="AV16" s="26">
        <f t="shared" si="35"/>
        <v>20</v>
      </c>
      <c r="AW16" s="25">
        <v>203</v>
      </c>
      <c r="AX16" s="11" t="str">
        <f t="shared" si="36"/>
        <v>Павелин Евгений Модестович
Давыдов Сергей Владимирович</v>
      </c>
      <c r="AY16" s="11" t="str">
        <f t="shared" si="37"/>
        <v>Екатеринбург
Екатеринбург</v>
      </c>
      <c r="AZ16" s="11" t="str">
        <f t="shared" si="38"/>
        <v>TLC 70</v>
      </c>
      <c r="BA16" s="15" t="str">
        <f t="shared" si="39"/>
        <v>DNF</v>
      </c>
      <c r="BB16" s="26">
        <f t="shared" si="40"/>
        <v>0</v>
      </c>
      <c r="BC16" s="26">
        <f t="shared" si="41"/>
        <v>20</v>
      </c>
      <c r="BD16" s="26">
        <f t="shared" si="42"/>
        <v>20</v>
      </c>
      <c r="BE16" s="15">
        <f t="shared" si="43"/>
        <v>0</v>
      </c>
      <c r="BF16" s="26">
        <f t="shared" si="44"/>
        <v>0</v>
      </c>
      <c r="BG16" s="26">
        <f t="shared" si="45"/>
        <v>0</v>
      </c>
      <c r="BH16" s="26">
        <f t="shared" si="46"/>
        <v>0</v>
      </c>
      <c r="BI16" s="15">
        <f t="shared" si="47"/>
        <v>1.5947916666666664E-3</v>
      </c>
      <c r="BJ16" s="26">
        <f t="shared" si="48"/>
        <v>0</v>
      </c>
      <c r="BK16" s="26">
        <f t="shared" si="49"/>
        <v>95</v>
      </c>
      <c r="BL16" s="26">
        <f t="shared" si="50"/>
        <v>95</v>
      </c>
      <c r="BM16" s="25">
        <v>203</v>
      </c>
      <c r="BN16" s="11" t="str">
        <f t="shared" si="51"/>
        <v>Павелин Евгений Модестович
Давыдов Сергей Владимирович</v>
      </c>
      <c r="BO16" s="11" t="str">
        <f t="shared" si="52"/>
        <v>Екатеринбург
Екатеринбург</v>
      </c>
      <c r="BP16" s="11" t="str">
        <f t="shared" si="53"/>
        <v>TLC 70</v>
      </c>
      <c r="BQ16" s="15">
        <f t="shared" si="54"/>
        <v>0</v>
      </c>
      <c r="BR16" s="26">
        <f t="shared" si="55"/>
        <v>0</v>
      </c>
      <c r="BS16" s="26">
        <f t="shared" si="56"/>
        <v>0</v>
      </c>
      <c r="BT16" s="26">
        <f t="shared" si="57"/>
        <v>0</v>
      </c>
      <c r="BU16" s="15">
        <f t="shared" si="58"/>
        <v>0</v>
      </c>
      <c r="BV16" s="26">
        <f t="shared" si="59"/>
        <v>0</v>
      </c>
      <c r="BW16" s="26">
        <f t="shared" si="60"/>
        <v>0</v>
      </c>
      <c r="BX16" s="26">
        <f t="shared" si="61"/>
        <v>0</v>
      </c>
      <c r="BY16" s="15">
        <f t="shared" si="62"/>
        <v>0</v>
      </c>
      <c r="BZ16" s="26">
        <f t="shared" si="63"/>
        <v>0</v>
      </c>
      <c r="CA16" s="26">
        <f t="shared" si="64"/>
        <v>0</v>
      </c>
      <c r="CB16" s="26">
        <f t="shared" si="65"/>
        <v>0</v>
      </c>
      <c r="CC16" s="25">
        <v>203</v>
      </c>
      <c r="CD16" s="11" t="str">
        <f t="shared" si="66"/>
        <v>Павелин Евгений Модестович
Давыдов Сергей Владимирович</v>
      </c>
      <c r="CE16" s="11" t="str">
        <f t="shared" si="67"/>
        <v>Екатеринбург
Екатеринбург</v>
      </c>
      <c r="CF16" s="11" t="str">
        <f t="shared" si="68"/>
        <v>TLC 70</v>
      </c>
      <c r="CG16" s="15">
        <f t="shared" si="69"/>
        <v>0</v>
      </c>
      <c r="CH16" s="26">
        <f t="shared" si="70"/>
        <v>0</v>
      </c>
      <c r="CI16" s="26">
        <f t="shared" si="71"/>
        <v>0</v>
      </c>
      <c r="CJ16" s="26">
        <f t="shared" si="72"/>
        <v>0</v>
      </c>
      <c r="CK16" s="15" t="str">
        <f t="shared" si="73"/>
        <v>DNF</v>
      </c>
      <c r="CL16" s="26">
        <f t="shared" si="74"/>
        <v>0</v>
      </c>
      <c r="CM16" s="26">
        <f t="shared" si="75"/>
        <v>20</v>
      </c>
      <c r="CN16" s="26">
        <f t="shared" si="76"/>
        <v>20</v>
      </c>
      <c r="CO16" s="15">
        <f t="shared" si="77"/>
        <v>0</v>
      </c>
      <c r="CP16" s="26">
        <f t="shared" si="78"/>
        <v>0</v>
      </c>
      <c r="CQ16" s="26">
        <f t="shared" si="79"/>
        <v>0</v>
      </c>
      <c r="CR16" s="26">
        <f t="shared" si="80"/>
        <v>0</v>
      </c>
    </row>
    <row r="17" spans="1:96" s="6" customFormat="1" ht="60" x14ac:dyDescent="0.25">
      <c r="A17" s="25">
        <v>204</v>
      </c>
      <c r="B17" s="11" t="str">
        <f t="shared" si="0"/>
        <v>Пелевин Евгений Сергеевич
Прочуханов Игорь Игоревич</v>
      </c>
      <c r="C17" s="11" t="str">
        <f t="shared" si="1"/>
        <v>Полевской
Ревда</v>
      </c>
      <c r="D17" s="11" t="str">
        <f t="shared" si="2"/>
        <v>Нива 21213</v>
      </c>
      <c r="E17" s="15">
        <f t="shared" si="3"/>
        <v>6.9444444444444447E-4</v>
      </c>
      <c r="F17" s="26"/>
      <c r="G17" s="26">
        <f t="shared" si="4"/>
        <v>100</v>
      </c>
      <c r="H17" s="26">
        <f t="shared" si="5"/>
        <v>100</v>
      </c>
      <c r="I17" s="69"/>
      <c r="J17" s="70"/>
      <c r="K17" s="70"/>
      <c r="L17" s="70"/>
      <c r="M17" s="71"/>
      <c r="N17" s="70"/>
      <c r="O17" s="70"/>
      <c r="P17" s="70"/>
      <c r="Q17" s="25">
        <v>204</v>
      </c>
      <c r="R17" s="11" t="str">
        <f t="shared" si="6"/>
        <v>Пелевин Евгений Сергеевич
Прочуханов Игорь Игоревич</v>
      </c>
      <c r="S17" s="11" t="str">
        <f t="shared" si="7"/>
        <v>Полевской
Ревда</v>
      </c>
      <c r="T17" s="11" t="str">
        <f t="shared" si="8"/>
        <v>Нива 21213</v>
      </c>
      <c r="U17" s="15">
        <f t="shared" si="9"/>
        <v>2.488425925925926E-3</v>
      </c>
      <c r="V17" s="26">
        <f t="shared" si="10"/>
        <v>0</v>
      </c>
      <c r="W17" s="26">
        <f t="shared" si="11"/>
        <v>100</v>
      </c>
      <c r="X17" s="26">
        <f t="shared" si="12"/>
        <v>100</v>
      </c>
      <c r="Y17" s="15">
        <f t="shared" si="13"/>
        <v>1.7245370370370372E-3</v>
      </c>
      <c r="Z17" s="26">
        <f t="shared" si="14"/>
        <v>0</v>
      </c>
      <c r="AA17" s="26">
        <f t="shared" si="15"/>
        <v>95</v>
      </c>
      <c r="AB17" s="26">
        <f t="shared" si="16"/>
        <v>95</v>
      </c>
      <c r="AC17" s="15">
        <f t="shared" si="17"/>
        <v>3.2226851851851848E-3</v>
      </c>
      <c r="AD17" s="26">
        <f t="shared" si="18"/>
        <v>0</v>
      </c>
      <c r="AE17" s="26">
        <f t="shared" si="19"/>
        <v>90</v>
      </c>
      <c r="AF17" s="26">
        <f t="shared" si="20"/>
        <v>90</v>
      </c>
      <c r="AG17" s="25">
        <v>204</v>
      </c>
      <c r="AH17" s="11" t="str">
        <f t="shared" si="21"/>
        <v>Пелевин Евгений Сергеевич
Прочуханов Игорь Игоревич</v>
      </c>
      <c r="AI17" s="11" t="str">
        <f t="shared" si="22"/>
        <v>Полевской
Ревда</v>
      </c>
      <c r="AJ17" s="11" t="str">
        <f t="shared" si="23"/>
        <v>186710
186711</v>
      </c>
      <c r="AK17" s="15">
        <f t="shared" si="24"/>
        <v>2.0717592592592593E-3</v>
      </c>
      <c r="AL17" s="26">
        <f t="shared" si="25"/>
        <v>0</v>
      </c>
      <c r="AM17" s="26">
        <f t="shared" si="26"/>
        <v>100</v>
      </c>
      <c r="AN17" s="26">
        <f t="shared" si="27"/>
        <v>100</v>
      </c>
      <c r="AO17" s="15">
        <f t="shared" si="28"/>
        <v>5.6365740740740742E-3</v>
      </c>
      <c r="AP17" s="26">
        <f t="shared" si="29"/>
        <v>0</v>
      </c>
      <c r="AQ17" s="26">
        <f t="shared" si="30"/>
        <v>84</v>
      </c>
      <c r="AR17" s="26">
        <f t="shared" si="31"/>
        <v>84</v>
      </c>
      <c r="AS17" s="15">
        <f t="shared" si="32"/>
        <v>2.1415509259259257E-3</v>
      </c>
      <c r="AT17" s="26">
        <f t="shared" si="33"/>
        <v>0</v>
      </c>
      <c r="AU17" s="26">
        <f t="shared" si="34"/>
        <v>84</v>
      </c>
      <c r="AV17" s="26">
        <f t="shared" si="35"/>
        <v>100</v>
      </c>
      <c r="AW17" s="25">
        <v>204</v>
      </c>
      <c r="AX17" s="11" t="str">
        <f t="shared" si="36"/>
        <v>Пелевин Евгений Сергеевич
Прочуханов Игорь Игоревич</v>
      </c>
      <c r="AY17" s="11" t="str">
        <f t="shared" si="37"/>
        <v>Полевской
Ревда</v>
      </c>
      <c r="AZ17" s="11" t="str">
        <f t="shared" si="38"/>
        <v>Нива 21213</v>
      </c>
      <c r="BA17" s="15">
        <f t="shared" si="39"/>
        <v>5.8083333333333346E-3</v>
      </c>
      <c r="BB17" s="26">
        <f t="shared" si="40"/>
        <v>0</v>
      </c>
      <c r="BC17" s="26">
        <f t="shared" si="41"/>
        <v>90</v>
      </c>
      <c r="BD17" s="26">
        <f t="shared" si="42"/>
        <v>90</v>
      </c>
      <c r="BE17" s="15">
        <f t="shared" si="43"/>
        <v>1.2756944444444445E-3</v>
      </c>
      <c r="BF17" s="26">
        <f t="shared" si="44"/>
        <v>0</v>
      </c>
      <c r="BG17" s="26">
        <f t="shared" si="45"/>
        <v>100</v>
      </c>
      <c r="BH17" s="26">
        <f t="shared" si="46"/>
        <v>100</v>
      </c>
      <c r="BI17" s="15">
        <f t="shared" si="47"/>
        <v>1.6471064814814814E-3</v>
      </c>
      <c r="BJ17" s="26">
        <f t="shared" si="48"/>
        <v>0</v>
      </c>
      <c r="BK17" s="26">
        <f t="shared" si="49"/>
        <v>90</v>
      </c>
      <c r="BL17" s="26">
        <f t="shared" si="50"/>
        <v>90</v>
      </c>
      <c r="BM17" s="25">
        <v>204</v>
      </c>
      <c r="BN17" s="11" t="str">
        <f t="shared" si="51"/>
        <v>Пелевин Евгений Сергеевич
Прочуханов Игорь Игоревич</v>
      </c>
      <c r="BO17" s="11" t="str">
        <f t="shared" si="52"/>
        <v>Полевской
Ревда</v>
      </c>
      <c r="BP17" s="11" t="str">
        <f t="shared" si="53"/>
        <v>Нива 21213</v>
      </c>
      <c r="BQ17" s="15">
        <f t="shared" si="54"/>
        <v>7.1759259259259259E-3</v>
      </c>
      <c r="BR17" s="26">
        <f t="shared" si="55"/>
        <v>0</v>
      </c>
      <c r="BS17" s="26">
        <f t="shared" si="56"/>
        <v>95</v>
      </c>
      <c r="BT17" s="26">
        <f t="shared" si="57"/>
        <v>95</v>
      </c>
      <c r="BU17" s="15">
        <f t="shared" si="58"/>
        <v>2.3611111111111111E-3</v>
      </c>
      <c r="BV17" s="26">
        <f t="shared" si="59"/>
        <v>0</v>
      </c>
      <c r="BW17" s="26">
        <f t="shared" si="60"/>
        <v>90</v>
      </c>
      <c r="BX17" s="26">
        <f t="shared" si="61"/>
        <v>90</v>
      </c>
      <c r="BY17" s="15">
        <f t="shared" si="62"/>
        <v>2.5115740740740741E-3</v>
      </c>
      <c r="BZ17" s="26">
        <f t="shared" si="63"/>
        <v>0</v>
      </c>
      <c r="CA17" s="26">
        <f t="shared" si="64"/>
        <v>100</v>
      </c>
      <c r="CB17" s="26">
        <f t="shared" si="65"/>
        <v>100</v>
      </c>
      <c r="CC17" s="25">
        <v>204</v>
      </c>
      <c r="CD17" s="11" t="str">
        <f t="shared" si="66"/>
        <v>Пелевин Евгений Сергеевич
Прочуханов Игорь Игоревич</v>
      </c>
      <c r="CE17" s="11" t="str">
        <f t="shared" si="67"/>
        <v>Полевской
Ревда</v>
      </c>
      <c r="CF17" s="11" t="str">
        <f t="shared" si="68"/>
        <v>Нива 21213</v>
      </c>
      <c r="CG17" s="15">
        <f t="shared" si="69"/>
        <v>3.2291666666666666E-3</v>
      </c>
      <c r="CH17" s="26">
        <f t="shared" si="70"/>
        <v>10</v>
      </c>
      <c r="CI17" s="26">
        <f t="shared" si="71"/>
        <v>95</v>
      </c>
      <c r="CJ17" s="26">
        <f t="shared" si="72"/>
        <v>85</v>
      </c>
      <c r="CK17" s="15">
        <f t="shared" si="73"/>
        <v>3.8773148148148143E-3</v>
      </c>
      <c r="CL17" s="26">
        <f t="shared" si="74"/>
        <v>0</v>
      </c>
      <c r="CM17" s="26">
        <f t="shared" si="75"/>
        <v>100</v>
      </c>
      <c r="CN17" s="26">
        <f t="shared" si="76"/>
        <v>100</v>
      </c>
      <c r="CO17" s="15">
        <f t="shared" si="77"/>
        <v>0</v>
      </c>
      <c r="CP17" s="26">
        <f t="shared" si="78"/>
        <v>0</v>
      </c>
      <c r="CQ17" s="26">
        <f t="shared" si="79"/>
        <v>0</v>
      </c>
      <c r="CR17" s="26">
        <f t="shared" si="80"/>
        <v>0</v>
      </c>
    </row>
    <row r="18" spans="1:96" s="6" customFormat="1" ht="60" x14ac:dyDescent="0.25">
      <c r="A18" s="25">
        <v>205</v>
      </c>
      <c r="B18" s="11" t="str">
        <f t="shared" si="0"/>
        <v>Тетерин Роман Геннадьевич
Захаров Александр Васильевич</v>
      </c>
      <c r="C18" s="11" t="str">
        <f t="shared" si="1"/>
        <v>Катайск
Катайск</v>
      </c>
      <c r="D18" s="11" t="str">
        <f t="shared" si="2"/>
        <v>УАЗ 469</v>
      </c>
      <c r="E18" s="15">
        <f t="shared" si="3"/>
        <v>3.472222222222222E-3</v>
      </c>
      <c r="F18" s="26"/>
      <c r="G18" s="26">
        <f t="shared" si="4"/>
        <v>84</v>
      </c>
      <c r="H18" s="26">
        <f t="shared" si="5"/>
        <v>84</v>
      </c>
      <c r="I18" s="69"/>
      <c r="J18" s="70"/>
      <c r="K18" s="70"/>
      <c r="L18" s="70"/>
      <c r="M18" s="71"/>
      <c r="N18" s="70"/>
      <c r="O18" s="70"/>
      <c r="P18" s="70"/>
      <c r="Q18" s="25">
        <v>205</v>
      </c>
      <c r="R18" s="11" t="str">
        <f t="shared" si="6"/>
        <v>Тетерин Роман Геннадьевич
Захаров Александр Васильевич</v>
      </c>
      <c r="S18" s="11" t="str">
        <f t="shared" si="7"/>
        <v>Катайск
Катайск</v>
      </c>
      <c r="T18" s="11" t="str">
        <f t="shared" si="8"/>
        <v>УАЗ 469</v>
      </c>
      <c r="U18" s="15" t="str">
        <f t="shared" si="9"/>
        <v>DNF</v>
      </c>
      <c r="V18" s="26">
        <f t="shared" si="10"/>
        <v>0</v>
      </c>
      <c r="W18" s="26">
        <f t="shared" si="11"/>
        <v>20</v>
      </c>
      <c r="X18" s="26">
        <f t="shared" si="12"/>
        <v>20</v>
      </c>
      <c r="Y18" s="15">
        <f t="shared" si="13"/>
        <v>3.4490740740740745E-3</v>
      </c>
      <c r="Z18" s="26">
        <f t="shared" si="14"/>
        <v>0</v>
      </c>
      <c r="AA18" s="26">
        <f t="shared" si="15"/>
        <v>78</v>
      </c>
      <c r="AB18" s="26">
        <f t="shared" si="16"/>
        <v>78</v>
      </c>
      <c r="AC18" s="15">
        <f t="shared" si="17"/>
        <v>5.0256944444444446E-3</v>
      </c>
      <c r="AD18" s="26">
        <f t="shared" si="18"/>
        <v>10</v>
      </c>
      <c r="AE18" s="26">
        <f t="shared" si="19"/>
        <v>87</v>
      </c>
      <c r="AF18" s="26">
        <f t="shared" si="20"/>
        <v>77</v>
      </c>
      <c r="AG18" s="25">
        <v>205</v>
      </c>
      <c r="AH18" s="11" t="str">
        <f t="shared" si="21"/>
        <v>Тетерин Роман Геннадьевич
Захаров Александр Васильевич</v>
      </c>
      <c r="AI18" s="11" t="str">
        <f t="shared" si="22"/>
        <v>Катайск
Катайск</v>
      </c>
      <c r="AJ18" s="11" t="str">
        <f t="shared" si="23"/>
        <v>171307</v>
      </c>
      <c r="AK18" s="15">
        <f t="shared" si="24"/>
        <v>8.0324074074074065E-3</v>
      </c>
      <c r="AL18" s="26">
        <f t="shared" si="25"/>
        <v>10</v>
      </c>
      <c r="AM18" s="26">
        <f t="shared" si="26"/>
        <v>87</v>
      </c>
      <c r="AN18" s="26">
        <f t="shared" si="27"/>
        <v>77</v>
      </c>
      <c r="AO18" s="15">
        <f t="shared" si="28"/>
        <v>4.2592592592592595E-3</v>
      </c>
      <c r="AP18" s="26">
        <f t="shared" si="29"/>
        <v>0</v>
      </c>
      <c r="AQ18" s="26">
        <f t="shared" si="30"/>
        <v>87</v>
      </c>
      <c r="AR18" s="26">
        <f t="shared" si="31"/>
        <v>87</v>
      </c>
      <c r="AS18" s="15">
        <f t="shared" si="32"/>
        <v>7.7817129629629625E-3</v>
      </c>
      <c r="AT18" s="26">
        <f t="shared" si="33"/>
        <v>0</v>
      </c>
      <c r="AU18" s="26">
        <f t="shared" si="34"/>
        <v>87</v>
      </c>
      <c r="AV18" s="26">
        <f t="shared" si="35"/>
        <v>87</v>
      </c>
      <c r="AW18" s="25">
        <v>205</v>
      </c>
      <c r="AX18" s="11" t="str">
        <f t="shared" si="36"/>
        <v>Тетерин Роман Геннадьевич
Захаров Александр Васильевич</v>
      </c>
      <c r="AY18" s="11" t="str">
        <f t="shared" si="37"/>
        <v>Катайск
Катайск</v>
      </c>
      <c r="AZ18" s="11" t="str">
        <f t="shared" si="38"/>
        <v>УАЗ 469</v>
      </c>
      <c r="BA18" s="15">
        <f t="shared" si="39"/>
        <v>5.225462962962963E-3</v>
      </c>
      <c r="BB18" s="26">
        <f t="shared" si="40"/>
        <v>0</v>
      </c>
      <c r="BC18" s="26">
        <f t="shared" si="41"/>
        <v>95</v>
      </c>
      <c r="BD18" s="26">
        <f t="shared" si="42"/>
        <v>95</v>
      </c>
      <c r="BE18" s="15">
        <f t="shared" si="43"/>
        <v>5.0719907407407406E-3</v>
      </c>
      <c r="BF18" s="26">
        <f t="shared" si="44"/>
        <v>0</v>
      </c>
      <c r="BG18" s="26">
        <f t="shared" si="45"/>
        <v>84</v>
      </c>
      <c r="BH18" s="26">
        <f t="shared" si="46"/>
        <v>84</v>
      </c>
      <c r="BI18" s="15">
        <f t="shared" si="47"/>
        <v>7.3035879629629631E-3</v>
      </c>
      <c r="BJ18" s="26">
        <f t="shared" si="48"/>
        <v>30</v>
      </c>
      <c r="BK18" s="26">
        <f t="shared" si="49"/>
        <v>81</v>
      </c>
      <c r="BL18" s="26">
        <f t="shared" si="50"/>
        <v>51</v>
      </c>
      <c r="BM18" s="25">
        <v>205</v>
      </c>
      <c r="BN18" s="11" t="str">
        <f t="shared" si="51"/>
        <v>Тетерин Роман Геннадьевич
Захаров Александр Васильевич</v>
      </c>
      <c r="BO18" s="11" t="str">
        <f t="shared" si="52"/>
        <v>Катайск
Катайск</v>
      </c>
      <c r="BP18" s="11" t="str">
        <f t="shared" si="53"/>
        <v>УАЗ 469</v>
      </c>
      <c r="BQ18" s="15">
        <f t="shared" si="54"/>
        <v>0</v>
      </c>
      <c r="BR18" s="26">
        <f t="shared" si="55"/>
        <v>0</v>
      </c>
      <c r="BS18" s="26">
        <f t="shared" si="56"/>
        <v>0</v>
      </c>
      <c r="BT18" s="26">
        <f t="shared" si="57"/>
        <v>0</v>
      </c>
      <c r="BU18" s="15">
        <f t="shared" si="58"/>
        <v>2.9976851851851848E-3</v>
      </c>
      <c r="BV18" s="26">
        <f t="shared" si="59"/>
        <v>0</v>
      </c>
      <c r="BW18" s="26">
        <f t="shared" si="60"/>
        <v>87</v>
      </c>
      <c r="BX18" s="26">
        <f t="shared" si="61"/>
        <v>87</v>
      </c>
      <c r="BY18" s="15" t="str">
        <f t="shared" si="62"/>
        <v>DNF</v>
      </c>
      <c r="BZ18" s="26">
        <f t="shared" si="63"/>
        <v>0</v>
      </c>
      <c r="CA18" s="26">
        <f t="shared" si="64"/>
        <v>20</v>
      </c>
      <c r="CB18" s="26">
        <f t="shared" si="65"/>
        <v>20</v>
      </c>
      <c r="CC18" s="25">
        <v>205</v>
      </c>
      <c r="CD18" s="11" t="str">
        <f t="shared" si="66"/>
        <v>Тетерин Роман Геннадьевич
Захаров Александр Васильевич</v>
      </c>
      <c r="CE18" s="11" t="str">
        <f t="shared" si="67"/>
        <v>Катайск
Катайск</v>
      </c>
      <c r="CF18" s="11" t="str">
        <f t="shared" si="68"/>
        <v>УАЗ 469</v>
      </c>
      <c r="CG18" s="15" t="str">
        <f t="shared" si="69"/>
        <v>DNF</v>
      </c>
      <c r="CH18" s="26">
        <f t="shared" si="70"/>
        <v>0</v>
      </c>
      <c r="CI18" s="26">
        <f t="shared" si="71"/>
        <v>20</v>
      </c>
      <c r="CJ18" s="26">
        <f t="shared" si="72"/>
        <v>20</v>
      </c>
      <c r="CK18" s="15" t="str">
        <f t="shared" si="73"/>
        <v>DNF</v>
      </c>
      <c r="CL18" s="26">
        <f t="shared" si="74"/>
        <v>0</v>
      </c>
      <c r="CM18" s="26">
        <f t="shared" si="75"/>
        <v>20</v>
      </c>
      <c r="CN18" s="26">
        <f t="shared" si="76"/>
        <v>20</v>
      </c>
      <c r="CO18" s="15">
        <f t="shared" si="77"/>
        <v>0</v>
      </c>
      <c r="CP18" s="26">
        <f t="shared" si="78"/>
        <v>0</v>
      </c>
      <c r="CQ18" s="26">
        <f t="shared" si="79"/>
        <v>0</v>
      </c>
      <c r="CR18" s="26">
        <f t="shared" si="80"/>
        <v>0</v>
      </c>
    </row>
    <row r="19" spans="1:96" s="6" customFormat="1" ht="60" x14ac:dyDescent="0.25">
      <c r="A19" s="25">
        <v>206</v>
      </c>
      <c r="B19" s="11" t="str">
        <f t="shared" si="0"/>
        <v>Бачурин Антон Александрович
Лашков Антон Борисович</v>
      </c>
      <c r="C19" s="11" t="str">
        <f t="shared" si="1"/>
        <v>Камышлов
Камышлов</v>
      </c>
      <c r="D19" s="11" t="str">
        <f t="shared" si="2"/>
        <v>ГАЗ-69</v>
      </c>
      <c r="E19" s="15">
        <f t="shared" si="3"/>
        <v>2.7777777777777779E-3</v>
      </c>
      <c r="F19" s="26"/>
      <c r="G19" s="26">
        <f t="shared" si="4"/>
        <v>87</v>
      </c>
      <c r="H19" s="26">
        <f t="shared" si="5"/>
        <v>87</v>
      </c>
      <c r="I19" s="69"/>
      <c r="J19" s="70"/>
      <c r="K19" s="70"/>
      <c r="L19" s="70"/>
      <c r="M19" s="71"/>
      <c r="N19" s="70"/>
      <c r="O19" s="70"/>
      <c r="P19" s="70"/>
      <c r="Q19" s="25">
        <v>206</v>
      </c>
      <c r="R19" s="11" t="str">
        <f t="shared" si="6"/>
        <v>Бачурин Антон Александрович
Лашков Антон Борисович</v>
      </c>
      <c r="S19" s="11" t="str">
        <f t="shared" si="7"/>
        <v>Камышлов
Камышлов</v>
      </c>
      <c r="T19" s="11" t="str">
        <f t="shared" si="8"/>
        <v>ГАЗ-69</v>
      </c>
      <c r="U19" s="15">
        <f t="shared" si="9"/>
        <v>2.6620370370370374E-3</v>
      </c>
      <c r="V19" s="26">
        <f t="shared" si="10"/>
        <v>0</v>
      </c>
      <c r="W19" s="26">
        <f t="shared" si="11"/>
        <v>95</v>
      </c>
      <c r="X19" s="26">
        <f t="shared" si="12"/>
        <v>95</v>
      </c>
      <c r="Y19" s="15">
        <f t="shared" si="13"/>
        <v>1.5509259259259261E-3</v>
      </c>
      <c r="Z19" s="26">
        <f t="shared" si="14"/>
        <v>0</v>
      </c>
      <c r="AA19" s="26">
        <f t="shared" si="15"/>
        <v>100</v>
      </c>
      <c r="AB19" s="26">
        <f t="shared" si="16"/>
        <v>100</v>
      </c>
      <c r="AC19" s="15">
        <f t="shared" si="17"/>
        <v>3.0070601851851855E-3</v>
      </c>
      <c r="AD19" s="26">
        <f t="shared" si="18"/>
        <v>0</v>
      </c>
      <c r="AE19" s="26">
        <f t="shared" si="19"/>
        <v>100</v>
      </c>
      <c r="AF19" s="26">
        <f t="shared" si="20"/>
        <v>100</v>
      </c>
      <c r="AG19" s="25">
        <v>206</v>
      </c>
      <c r="AH19" s="11" t="str">
        <f t="shared" si="21"/>
        <v>Бачурин Антон Александрович
Лашков Антон Борисович</v>
      </c>
      <c r="AI19" s="11" t="str">
        <f t="shared" si="22"/>
        <v>Камышлов
Камышлов</v>
      </c>
      <c r="AJ19" s="11">
        <f t="shared" si="23"/>
        <v>0</v>
      </c>
      <c r="AK19" s="15">
        <f t="shared" si="24"/>
        <v>4.4328703703703709E-3</v>
      </c>
      <c r="AL19" s="26">
        <f t="shared" si="25"/>
        <v>0</v>
      </c>
      <c r="AM19" s="26">
        <f t="shared" si="26"/>
        <v>95</v>
      </c>
      <c r="AN19" s="26">
        <f t="shared" si="27"/>
        <v>95</v>
      </c>
      <c r="AO19" s="15">
        <f t="shared" si="28"/>
        <v>3.0555555555555557E-3</v>
      </c>
      <c r="AP19" s="26">
        <f t="shared" si="29"/>
        <v>0</v>
      </c>
      <c r="AQ19" s="26">
        <f t="shared" si="30"/>
        <v>95</v>
      </c>
      <c r="AR19" s="26">
        <f t="shared" si="31"/>
        <v>95</v>
      </c>
      <c r="AS19" s="15">
        <f t="shared" si="32"/>
        <v>3.5413194444444442E-3</v>
      </c>
      <c r="AT19" s="26">
        <f t="shared" si="33"/>
        <v>0</v>
      </c>
      <c r="AU19" s="26">
        <f t="shared" si="34"/>
        <v>95</v>
      </c>
      <c r="AV19" s="26">
        <f t="shared" si="35"/>
        <v>90</v>
      </c>
      <c r="AW19" s="25">
        <v>206</v>
      </c>
      <c r="AX19" s="11" t="str">
        <f t="shared" si="36"/>
        <v>Бачурин Антон Александрович
Лашков Антон Борисович</v>
      </c>
      <c r="AY19" s="11" t="str">
        <f t="shared" si="37"/>
        <v>Камышлов
Камышлов</v>
      </c>
      <c r="AZ19" s="11" t="str">
        <f t="shared" si="38"/>
        <v>ГАЗ-69</v>
      </c>
      <c r="BA19" s="15" t="str">
        <f t="shared" si="39"/>
        <v>DNF</v>
      </c>
      <c r="BB19" s="26">
        <f t="shared" si="40"/>
        <v>0</v>
      </c>
      <c r="BC19" s="26">
        <f t="shared" si="41"/>
        <v>20</v>
      </c>
      <c r="BD19" s="26">
        <f t="shared" si="42"/>
        <v>20</v>
      </c>
      <c r="BE19" s="15">
        <f t="shared" si="43"/>
        <v>1.6572916666666665E-3</v>
      </c>
      <c r="BF19" s="26">
        <f t="shared" si="44"/>
        <v>0</v>
      </c>
      <c r="BG19" s="26">
        <f t="shared" si="45"/>
        <v>90</v>
      </c>
      <c r="BH19" s="26">
        <f t="shared" si="46"/>
        <v>90</v>
      </c>
      <c r="BI19" s="15">
        <f t="shared" si="47"/>
        <v>1.0239583333333333E-3</v>
      </c>
      <c r="BJ19" s="26">
        <f t="shared" si="48"/>
        <v>0</v>
      </c>
      <c r="BK19" s="26">
        <f t="shared" si="49"/>
        <v>100</v>
      </c>
      <c r="BL19" s="26">
        <f t="shared" si="50"/>
        <v>100</v>
      </c>
      <c r="BM19" s="25">
        <v>206</v>
      </c>
      <c r="BN19" s="11" t="str">
        <f t="shared" si="51"/>
        <v>Бачурин Антон Александрович
Лашков Антон Борисович</v>
      </c>
      <c r="BO19" s="11" t="str">
        <f t="shared" si="52"/>
        <v>Камышлов
Камышлов</v>
      </c>
      <c r="BP19" s="11" t="str">
        <f t="shared" si="53"/>
        <v>ГАЗ-69</v>
      </c>
      <c r="BQ19" s="15">
        <f t="shared" si="54"/>
        <v>9.9768518518518531E-3</v>
      </c>
      <c r="BR19" s="26">
        <f t="shared" si="55"/>
        <v>30</v>
      </c>
      <c r="BS19" s="26">
        <f t="shared" si="56"/>
        <v>90</v>
      </c>
      <c r="BT19" s="26">
        <f t="shared" si="57"/>
        <v>60</v>
      </c>
      <c r="BU19" s="15">
        <f t="shared" si="58"/>
        <v>1.5972222222222221E-3</v>
      </c>
      <c r="BV19" s="26">
        <f t="shared" si="59"/>
        <v>0</v>
      </c>
      <c r="BW19" s="26">
        <f t="shared" si="60"/>
        <v>95</v>
      </c>
      <c r="BX19" s="26">
        <f t="shared" si="61"/>
        <v>95</v>
      </c>
      <c r="BY19" s="15">
        <f t="shared" si="62"/>
        <v>3.9467592592592592E-3</v>
      </c>
      <c r="BZ19" s="26">
        <f t="shared" si="63"/>
        <v>0</v>
      </c>
      <c r="CA19" s="26">
        <f t="shared" si="64"/>
        <v>90</v>
      </c>
      <c r="CB19" s="26">
        <f t="shared" si="65"/>
        <v>90</v>
      </c>
      <c r="CC19" s="25">
        <v>206</v>
      </c>
      <c r="CD19" s="11" t="str">
        <f t="shared" si="66"/>
        <v>Бачурин Антон Александрович
Лашков Антон Борисович</v>
      </c>
      <c r="CE19" s="11" t="str">
        <f t="shared" si="67"/>
        <v>Камышлов
Камышлов</v>
      </c>
      <c r="CF19" s="11" t="str">
        <f t="shared" si="68"/>
        <v>ГАЗ-69</v>
      </c>
      <c r="CG19" s="15">
        <f t="shared" si="69"/>
        <v>3.2638888888888891E-3</v>
      </c>
      <c r="CH19" s="26">
        <f t="shared" si="70"/>
        <v>0</v>
      </c>
      <c r="CI19" s="26">
        <f t="shared" si="71"/>
        <v>90</v>
      </c>
      <c r="CJ19" s="26">
        <f t="shared" si="72"/>
        <v>90</v>
      </c>
      <c r="CK19" s="15">
        <f t="shared" si="73"/>
        <v>4.4791666666666669E-3</v>
      </c>
      <c r="CL19" s="26">
        <f t="shared" si="74"/>
        <v>0</v>
      </c>
      <c r="CM19" s="26">
        <f t="shared" si="75"/>
        <v>95</v>
      </c>
      <c r="CN19" s="26">
        <f t="shared" si="76"/>
        <v>95</v>
      </c>
      <c r="CO19" s="15">
        <f t="shared" si="77"/>
        <v>0</v>
      </c>
      <c r="CP19" s="26">
        <f t="shared" si="78"/>
        <v>0</v>
      </c>
      <c r="CQ19" s="26">
        <f t="shared" si="79"/>
        <v>0</v>
      </c>
      <c r="CR19" s="26">
        <f t="shared" si="80"/>
        <v>0</v>
      </c>
    </row>
    <row r="20" spans="1:96" s="6" customFormat="1" ht="60" x14ac:dyDescent="0.25">
      <c r="A20" s="25">
        <v>207</v>
      </c>
      <c r="B20" s="11" t="str">
        <f t="shared" si="0"/>
        <v>Моисеев Сергей Александрович
Никитин Сергей Владимирович</v>
      </c>
      <c r="C20" s="11" t="str">
        <f t="shared" si="1"/>
        <v>Челябинск
Челябинск</v>
      </c>
      <c r="D20" s="11" t="str">
        <f t="shared" si="2"/>
        <v>ВАЗ 2121</v>
      </c>
      <c r="E20" s="15" t="str">
        <f t="shared" si="3"/>
        <v>DNF</v>
      </c>
      <c r="F20" s="26"/>
      <c r="G20" s="26">
        <f t="shared" si="4"/>
        <v>20</v>
      </c>
      <c r="H20" s="26">
        <f t="shared" si="5"/>
        <v>20</v>
      </c>
      <c r="I20" s="69"/>
      <c r="J20" s="70"/>
      <c r="K20" s="70"/>
      <c r="L20" s="70"/>
      <c r="M20" s="71"/>
      <c r="N20" s="70"/>
      <c r="O20" s="70"/>
      <c r="P20" s="70"/>
      <c r="Q20" s="25">
        <v>207</v>
      </c>
      <c r="R20" s="11" t="str">
        <f t="shared" si="6"/>
        <v>Моисеев Сергей Александрович
Никитин Сергей Владимирович</v>
      </c>
      <c r="S20" s="11" t="str">
        <f t="shared" si="7"/>
        <v>Челябинск
Челябинск</v>
      </c>
      <c r="T20" s="11" t="str">
        <f t="shared" si="8"/>
        <v>ВАЗ 2121</v>
      </c>
      <c r="U20" s="15" t="str">
        <f t="shared" si="9"/>
        <v>DNF</v>
      </c>
      <c r="V20" s="26">
        <f t="shared" si="10"/>
        <v>0</v>
      </c>
      <c r="W20" s="26">
        <f t="shared" si="11"/>
        <v>20</v>
      </c>
      <c r="X20" s="26">
        <f t="shared" si="12"/>
        <v>20</v>
      </c>
      <c r="Y20" s="15">
        <f t="shared" si="13"/>
        <v>1.7245370370370372E-3</v>
      </c>
      <c r="Z20" s="26">
        <f t="shared" si="14"/>
        <v>0</v>
      </c>
      <c r="AA20" s="26">
        <f t="shared" si="15"/>
        <v>95</v>
      </c>
      <c r="AB20" s="26">
        <f t="shared" si="16"/>
        <v>95</v>
      </c>
      <c r="AC20" s="15">
        <f t="shared" si="17"/>
        <v>0</v>
      </c>
      <c r="AD20" s="26">
        <f t="shared" si="18"/>
        <v>0</v>
      </c>
      <c r="AE20" s="26">
        <f t="shared" si="19"/>
        <v>0</v>
      </c>
      <c r="AF20" s="26">
        <f t="shared" si="20"/>
        <v>0</v>
      </c>
      <c r="AG20" s="25">
        <v>207</v>
      </c>
      <c r="AH20" s="11" t="str">
        <f t="shared" si="21"/>
        <v>Моисеев Сергей Александрович
Никитин Сергей Владимирович</v>
      </c>
      <c r="AI20" s="11" t="str">
        <f t="shared" si="22"/>
        <v>Челябинск
Челябинск</v>
      </c>
      <c r="AJ20" s="11">
        <f t="shared" si="23"/>
        <v>0</v>
      </c>
      <c r="AK20" s="15">
        <f t="shared" si="24"/>
        <v>0</v>
      </c>
      <c r="AL20" s="26">
        <f t="shared" si="25"/>
        <v>0</v>
      </c>
      <c r="AM20" s="26">
        <f t="shared" si="26"/>
        <v>0</v>
      </c>
      <c r="AN20" s="26">
        <f t="shared" si="27"/>
        <v>0</v>
      </c>
      <c r="AO20" s="15">
        <f t="shared" si="28"/>
        <v>0</v>
      </c>
      <c r="AP20" s="26">
        <f t="shared" si="29"/>
        <v>0</v>
      </c>
      <c r="AQ20" s="26">
        <f t="shared" si="30"/>
        <v>0</v>
      </c>
      <c r="AR20" s="26">
        <f t="shared" si="31"/>
        <v>0</v>
      </c>
      <c r="AS20" s="15">
        <f t="shared" si="32"/>
        <v>0</v>
      </c>
      <c r="AT20" s="26">
        <f t="shared" si="33"/>
        <v>0</v>
      </c>
      <c r="AU20" s="26">
        <f t="shared" si="34"/>
        <v>0</v>
      </c>
      <c r="AV20" s="26">
        <f t="shared" si="35"/>
        <v>0</v>
      </c>
      <c r="AW20" s="25">
        <v>207</v>
      </c>
      <c r="AX20" s="11" t="str">
        <f t="shared" si="36"/>
        <v>Моисеев Сергей Александрович
Никитин Сергей Владимирович</v>
      </c>
      <c r="AY20" s="11" t="str">
        <f t="shared" si="37"/>
        <v>Челябинск
Челябинск</v>
      </c>
      <c r="AZ20" s="11" t="str">
        <f t="shared" si="38"/>
        <v>ВАЗ 2121</v>
      </c>
      <c r="BA20" s="15">
        <f t="shared" si="39"/>
        <v>0</v>
      </c>
      <c r="BB20" s="26">
        <f t="shared" si="40"/>
        <v>0</v>
      </c>
      <c r="BC20" s="26">
        <f t="shared" si="41"/>
        <v>0</v>
      </c>
      <c r="BD20" s="26">
        <f t="shared" si="42"/>
        <v>0</v>
      </c>
      <c r="BE20" s="15">
        <f t="shared" si="43"/>
        <v>0</v>
      </c>
      <c r="BF20" s="26">
        <f t="shared" si="44"/>
        <v>0</v>
      </c>
      <c r="BG20" s="26">
        <f t="shared" si="45"/>
        <v>0</v>
      </c>
      <c r="BH20" s="26">
        <f t="shared" si="46"/>
        <v>0</v>
      </c>
      <c r="BI20" s="15">
        <f t="shared" si="47"/>
        <v>1.8750000000000001E-3</v>
      </c>
      <c r="BJ20" s="26">
        <f t="shared" si="48"/>
        <v>10</v>
      </c>
      <c r="BK20" s="26">
        <f t="shared" si="49"/>
        <v>87</v>
      </c>
      <c r="BL20" s="26">
        <f t="shared" si="50"/>
        <v>77</v>
      </c>
      <c r="BM20" s="25">
        <v>207</v>
      </c>
      <c r="BN20" s="11" t="str">
        <f t="shared" si="51"/>
        <v>Моисеев Сергей Александрович
Никитин Сергей Владимирович</v>
      </c>
      <c r="BO20" s="11" t="str">
        <f t="shared" si="52"/>
        <v>Челябинск
Челябинск</v>
      </c>
      <c r="BP20" s="11" t="str">
        <f t="shared" si="53"/>
        <v>ВАЗ 2121</v>
      </c>
      <c r="BQ20" s="15">
        <f t="shared" si="54"/>
        <v>0</v>
      </c>
      <c r="BR20" s="26">
        <f t="shared" si="55"/>
        <v>0</v>
      </c>
      <c r="BS20" s="26">
        <f t="shared" si="56"/>
        <v>0</v>
      </c>
      <c r="BT20" s="26">
        <f t="shared" si="57"/>
        <v>0</v>
      </c>
      <c r="BU20" s="15">
        <f t="shared" si="58"/>
        <v>0</v>
      </c>
      <c r="BV20" s="26">
        <f t="shared" si="59"/>
        <v>0</v>
      </c>
      <c r="BW20" s="26">
        <f t="shared" si="60"/>
        <v>0</v>
      </c>
      <c r="BX20" s="26">
        <f t="shared" si="61"/>
        <v>0</v>
      </c>
      <c r="BY20" s="15">
        <f t="shared" si="62"/>
        <v>0</v>
      </c>
      <c r="BZ20" s="26">
        <f t="shared" si="63"/>
        <v>0</v>
      </c>
      <c r="CA20" s="26">
        <f t="shared" si="64"/>
        <v>0</v>
      </c>
      <c r="CB20" s="26">
        <f t="shared" si="65"/>
        <v>0</v>
      </c>
      <c r="CC20" s="25">
        <v>207</v>
      </c>
      <c r="CD20" s="11" t="str">
        <f t="shared" si="66"/>
        <v>Моисеев Сергей Александрович
Никитин Сергей Владимирович</v>
      </c>
      <c r="CE20" s="11" t="str">
        <f t="shared" si="67"/>
        <v>Челябинск
Челябинск</v>
      </c>
      <c r="CF20" s="11" t="str">
        <f t="shared" si="68"/>
        <v>ВАЗ 2121</v>
      </c>
      <c r="CG20" s="15">
        <f t="shared" si="69"/>
        <v>0</v>
      </c>
      <c r="CH20" s="26">
        <f t="shared" si="70"/>
        <v>0</v>
      </c>
      <c r="CI20" s="26">
        <f t="shared" si="71"/>
        <v>0</v>
      </c>
      <c r="CJ20" s="26">
        <f t="shared" si="72"/>
        <v>0</v>
      </c>
      <c r="CK20" s="15">
        <f t="shared" si="73"/>
        <v>0</v>
      </c>
      <c r="CL20" s="26">
        <f t="shared" si="74"/>
        <v>0</v>
      </c>
      <c r="CM20" s="26">
        <f t="shared" si="75"/>
        <v>0</v>
      </c>
      <c r="CN20" s="26">
        <f t="shared" si="76"/>
        <v>0</v>
      </c>
      <c r="CO20" s="15">
        <f t="shared" si="77"/>
        <v>0</v>
      </c>
      <c r="CP20" s="26">
        <f t="shared" si="78"/>
        <v>0</v>
      </c>
      <c r="CQ20" s="26">
        <f t="shared" si="79"/>
        <v>0</v>
      </c>
      <c r="CR20" s="26">
        <f t="shared" si="80"/>
        <v>0</v>
      </c>
    </row>
    <row r="21" spans="1:96" s="6" customFormat="1" ht="60" x14ac:dyDescent="0.25">
      <c r="A21" s="25">
        <v>208</v>
      </c>
      <c r="B21" s="11" t="str">
        <f t="shared" si="0"/>
        <v>Корбков Алексей Сергеевич
Корбков Алексей Сергеевич</v>
      </c>
      <c r="C21" s="11" t="str">
        <f t="shared" si="1"/>
        <v>Тюмень
Тюмень</v>
      </c>
      <c r="D21" s="11" t="str">
        <f t="shared" si="2"/>
        <v>ВАЗ 2121</v>
      </c>
      <c r="E21" s="15">
        <f t="shared" si="3"/>
        <v>1.5636574074074074E-2</v>
      </c>
      <c r="F21" s="26"/>
      <c r="G21" s="26">
        <f t="shared" si="4"/>
        <v>69</v>
      </c>
      <c r="H21" s="26">
        <f t="shared" si="5"/>
        <v>69</v>
      </c>
      <c r="I21" s="69"/>
      <c r="J21" s="70"/>
      <c r="K21" s="70"/>
      <c r="L21" s="70"/>
      <c r="M21" s="71"/>
      <c r="N21" s="70"/>
      <c r="O21" s="70"/>
      <c r="P21" s="70"/>
      <c r="Q21" s="25">
        <v>208</v>
      </c>
      <c r="R21" s="11" t="str">
        <f t="shared" si="6"/>
        <v>Корбков Алексей Сергеевич
Корбков Алексей Сергеевич</v>
      </c>
      <c r="S21" s="11" t="str">
        <f t="shared" si="7"/>
        <v>Тюмень
Тюмень</v>
      </c>
      <c r="T21" s="11" t="str">
        <f t="shared" si="8"/>
        <v>ВАЗ 2121</v>
      </c>
      <c r="U21" s="15">
        <f t="shared" si="9"/>
        <v>0</v>
      </c>
      <c r="V21" s="26">
        <f t="shared" si="10"/>
        <v>0</v>
      </c>
      <c r="W21" s="26">
        <f t="shared" si="11"/>
        <v>0</v>
      </c>
      <c r="X21" s="26">
        <f t="shared" si="12"/>
        <v>0</v>
      </c>
      <c r="Y21" s="15">
        <f t="shared" si="13"/>
        <v>2.3032407407407407E-3</v>
      </c>
      <c r="Z21" s="26">
        <f t="shared" si="14"/>
        <v>0</v>
      </c>
      <c r="AA21" s="26">
        <f t="shared" si="15"/>
        <v>87</v>
      </c>
      <c r="AB21" s="26">
        <f t="shared" si="16"/>
        <v>87</v>
      </c>
      <c r="AC21" s="15">
        <f t="shared" si="17"/>
        <v>0</v>
      </c>
      <c r="AD21" s="26">
        <f t="shared" si="18"/>
        <v>0</v>
      </c>
      <c r="AE21" s="26">
        <f t="shared" si="19"/>
        <v>0</v>
      </c>
      <c r="AF21" s="26">
        <f t="shared" si="20"/>
        <v>0</v>
      </c>
      <c r="AG21" s="25">
        <v>208</v>
      </c>
      <c r="AH21" s="11" t="str">
        <f t="shared" si="21"/>
        <v>Корбков Алексей Сергеевич
Корбков Алексей Сергеевич</v>
      </c>
      <c r="AI21" s="11" t="str">
        <f t="shared" si="22"/>
        <v>Тюмень
Тюмень</v>
      </c>
      <c r="AJ21" s="11">
        <f t="shared" si="23"/>
        <v>0</v>
      </c>
      <c r="AK21" s="15" t="str">
        <f t="shared" si="24"/>
        <v>DNF</v>
      </c>
      <c r="AL21" s="26">
        <f t="shared" si="25"/>
        <v>0</v>
      </c>
      <c r="AM21" s="26">
        <f t="shared" si="26"/>
        <v>20</v>
      </c>
      <c r="AN21" s="26">
        <f t="shared" si="27"/>
        <v>20</v>
      </c>
      <c r="AO21" s="15" t="str">
        <f t="shared" si="28"/>
        <v>DNF</v>
      </c>
      <c r="AP21" s="26">
        <f t="shared" si="29"/>
        <v>0</v>
      </c>
      <c r="AQ21" s="26">
        <f t="shared" si="30"/>
        <v>20</v>
      </c>
      <c r="AR21" s="26">
        <f t="shared" si="31"/>
        <v>20</v>
      </c>
      <c r="AS21" s="15" t="str">
        <f t="shared" si="32"/>
        <v>DNF</v>
      </c>
      <c r="AT21" s="26">
        <f t="shared" si="33"/>
        <v>0</v>
      </c>
      <c r="AU21" s="26">
        <f t="shared" si="34"/>
        <v>20</v>
      </c>
      <c r="AV21" s="26">
        <f t="shared" si="35"/>
        <v>20</v>
      </c>
      <c r="AW21" s="25">
        <v>208</v>
      </c>
      <c r="AX21" s="11" t="str">
        <f t="shared" si="36"/>
        <v>Корбков Алексей Сергеевич
Корбков Алексей Сергеевич</v>
      </c>
      <c r="AY21" s="11" t="str">
        <f t="shared" si="37"/>
        <v>Тюмень
Тюмень</v>
      </c>
      <c r="AZ21" s="11" t="str">
        <f t="shared" si="38"/>
        <v>ВАЗ 2121</v>
      </c>
      <c r="BA21" s="15" t="str">
        <f t="shared" si="39"/>
        <v>DNF</v>
      </c>
      <c r="BB21" s="26">
        <f t="shared" si="40"/>
        <v>0</v>
      </c>
      <c r="BC21" s="26">
        <f t="shared" si="41"/>
        <v>20</v>
      </c>
      <c r="BD21" s="26">
        <f t="shared" si="42"/>
        <v>20</v>
      </c>
      <c r="BE21" s="15">
        <f t="shared" si="43"/>
        <v>2.110763888888889E-3</v>
      </c>
      <c r="BF21" s="26">
        <f t="shared" si="44"/>
        <v>0</v>
      </c>
      <c r="BG21" s="26">
        <f t="shared" si="45"/>
        <v>100</v>
      </c>
      <c r="BH21" s="26">
        <f t="shared" si="46"/>
        <v>100</v>
      </c>
      <c r="BI21" s="15">
        <f t="shared" si="47"/>
        <v>2.4800925925925928E-3</v>
      </c>
      <c r="BJ21" s="26">
        <f t="shared" si="48"/>
        <v>0</v>
      </c>
      <c r="BK21" s="26">
        <f t="shared" si="49"/>
        <v>78</v>
      </c>
      <c r="BL21" s="26">
        <f t="shared" si="50"/>
        <v>78</v>
      </c>
      <c r="BM21" s="25">
        <v>208</v>
      </c>
      <c r="BN21" s="11" t="str">
        <f t="shared" si="51"/>
        <v>Корбков Алексей Сергеевич
Корбков Алексей Сергеевич</v>
      </c>
      <c r="BO21" s="11" t="str">
        <f t="shared" si="52"/>
        <v>Тюмень
Тюмень</v>
      </c>
      <c r="BP21" s="11" t="str">
        <f t="shared" si="53"/>
        <v>ВАЗ 2121</v>
      </c>
      <c r="BQ21" s="15" t="str">
        <f t="shared" si="54"/>
        <v>DNF</v>
      </c>
      <c r="BR21" s="26">
        <f t="shared" si="55"/>
        <v>0</v>
      </c>
      <c r="BS21" s="26">
        <f t="shared" si="56"/>
        <v>20</v>
      </c>
      <c r="BT21" s="26">
        <f t="shared" si="57"/>
        <v>20</v>
      </c>
      <c r="BU21" s="15">
        <f t="shared" si="58"/>
        <v>2.3495370370370371E-3</v>
      </c>
      <c r="BV21" s="26">
        <f t="shared" si="59"/>
        <v>0</v>
      </c>
      <c r="BW21" s="26">
        <f t="shared" si="60"/>
        <v>84</v>
      </c>
      <c r="BX21" s="26">
        <f t="shared" si="61"/>
        <v>84</v>
      </c>
      <c r="BY21" s="15" t="str">
        <f t="shared" si="62"/>
        <v>DNF</v>
      </c>
      <c r="BZ21" s="26">
        <f t="shared" si="63"/>
        <v>0</v>
      </c>
      <c r="CA21" s="26">
        <f t="shared" si="64"/>
        <v>20</v>
      </c>
      <c r="CB21" s="26">
        <f t="shared" si="65"/>
        <v>20</v>
      </c>
      <c r="CC21" s="25">
        <v>208</v>
      </c>
      <c r="CD21" s="11" t="str">
        <f t="shared" si="66"/>
        <v>Корбков Алексей Сергеевич
Корбков Алексей Сергеевич</v>
      </c>
      <c r="CE21" s="11" t="str">
        <f t="shared" si="67"/>
        <v>Тюмень
Тюмень</v>
      </c>
      <c r="CF21" s="11" t="str">
        <f t="shared" si="68"/>
        <v>ВАЗ 2121</v>
      </c>
      <c r="CG21" s="15" t="str">
        <f t="shared" si="69"/>
        <v>DNF</v>
      </c>
      <c r="CH21" s="26">
        <f t="shared" si="70"/>
        <v>0</v>
      </c>
      <c r="CI21" s="26">
        <f t="shared" si="71"/>
        <v>20</v>
      </c>
      <c r="CJ21" s="26">
        <f t="shared" si="72"/>
        <v>20</v>
      </c>
      <c r="CK21" s="15">
        <f t="shared" si="73"/>
        <v>0</v>
      </c>
      <c r="CL21" s="26">
        <f t="shared" si="74"/>
        <v>0</v>
      </c>
      <c r="CM21" s="26">
        <f t="shared" si="75"/>
        <v>0</v>
      </c>
      <c r="CN21" s="26">
        <f t="shared" si="76"/>
        <v>0</v>
      </c>
      <c r="CO21" s="15">
        <f t="shared" si="77"/>
        <v>0</v>
      </c>
      <c r="CP21" s="26">
        <f t="shared" si="78"/>
        <v>0</v>
      </c>
      <c r="CQ21" s="26">
        <f t="shared" si="79"/>
        <v>0</v>
      </c>
      <c r="CR21" s="26">
        <f t="shared" si="80"/>
        <v>0</v>
      </c>
    </row>
    <row r="22" spans="1:96" s="6" customFormat="1" ht="60" x14ac:dyDescent="0.25">
      <c r="A22" s="25">
        <v>209</v>
      </c>
      <c r="B22" s="11" t="str">
        <f t="shared" si="0"/>
        <v>Фахритдинов Альберт Фикратович 
Головко Кирилл Юрьевич</v>
      </c>
      <c r="C22" s="11" t="str">
        <f t="shared" si="1"/>
        <v>Екатеринбург
Екатеринбург</v>
      </c>
      <c r="D22" s="11" t="str">
        <f t="shared" si="2"/>
        <v>Jeep Grand Cherokee</v>
      </c>
      <c r="E22" s="15" t="str">
        <f t="shared" si="3"/>
        <v>DNF</v>
      </c>
      <c r="F22" s="26"/>
      <c r="G22" s="26">
        <f t="shared" si="4"/>
        <v>20</v>
      </c>
      <c r="H22" s="26">
        <f t="shared" si="5"/>
        <v>20</v>
      </c>
      <c r="I22" s="69"/>
      <c r="J22" s="70"/>
      <c r="K22" s="70"/>
      <c r="L22" s="70"/>
      <c r="M22" s="71"/>
      <c r="N22" s="70"/>
      <c r="O22" s="70"/>
      <c r="P22" s="70"/>
      <c r="Q22" s="25">
        <v>209</v>
      </c>
      <c r="R22" s="11" t="str">
        <f t="shared" si="6"/>
        <v>Фахритдинов Альберт Фикратович 
Головко Кирилл Юрьевич</v>
      </c>
      <c r="S22" s="11" t="str">
        <f t="shared" si="7"/>
        <v>Екатеринбург
Екатеринбург</v>
      </c>
      <c r="T22" s="11" t="str">
        <f t="shared" si="8"/>
        <v>Jeep Grand Cherokee</v>
      </c>
      <c r="U22" s="15" t="str">
        <f t="shared" si="9"/>
        <v>DNF</v>
      </c>
      <c r="V22" s="26">
        <f t="shared" si="10"/>
        <v>0</v>
      </c>
      <c r="W22" s="26">
        <f t="shared" si="11"/>
        <v>20</v>
      </c>
      <c r="X22" s="26">
        <f t="shared" si="12"/>
        <v>20</v>
      </c>
      <c r="Y22" s="15">
        <f t="shared" si="13"/>
        <v>1.9560185185185184E-3</v>
      </c>
      <c r="Z22" s="26">
        <f t="shared" si="14"/>
        <v>0</v>
      </c>
      <c r="AA22" s="26">
        <f t="shared" si="15"/>
        <v>87</v>
      </c>
      <c r="AB22" s="26">
        <f t="shared" si="16"/>
        <v>87</v>
      </c>
      <c r="AC22" s="15" t="str">
        <f t="shared" si="17"/>
        <v>DNF</v>
      </c>
      <c r="AD22" s="26">
        <f t="shared" si="18"/>
        <v>0</v>
      </c>
      <c r="AE22" s="26">
        <f t="shared" si="19"/>
        <v>20</v>
      </c>
      <c r="AF22" s="26">
        <f t="shared" si="20"/>
        <v>20</v>
      </c>
      <c r="AG22" s="25">
        <v>209</v>
      </c>
      <c r="AH22" s="11" t="str">
        <f t="shared" si="21"/>
        <v>Фахритдинов Альберт Фикратович 
Головко Кирилл Юрьевич</v>
      </c>
      <c r="AI22" s="11" t="str">
        <f t="shared" si="22"/>
        <v>Екатеринбург
Екатеринбург</v>
      </c>
      <c r="AJ22" s="11" t="str">
        <f t="shared" si="23"/>
        <v>183663</v>
      </c>
      <c r="AK22" s="15" t="str">
        <f t="shared" si="24"/>
        <v>DNF</v>
      </c>
      <c r="AL22" s="26">
        <f t="shared" si="25"/>
        <v>0</v>
      </c>
      <c r="AM22" s="26">
        <f t="shared" si="26"/>
        <v>20</v>
      </c>
      <c r="AN22" s="26">
        <f t="shared" si="27"/>
        <v>20</v>
      </c>
      <c r="AO22" s="15" t="str">
        <f t="shared" si="28"/>
        <v>DNF</v>
      </c>
      <c r="AP22" s="26">
        <f t="shared" si="29"/>
        <v>0</v>
      </c>
      <c r="AQ22" s="26">
        <f t="shared" si="30"/>
        <v>20</v>
      </c>
      <c r="AR22" s="26">
        <f t="shared" si="31"/>
        <v>20</v>
      </c>
      <c r="AS22" s="15">
        <f t="shared" si="32"/>
        <v>0</v>
      </c>
      <c r="AT22" s="26">
        <f t="shared" si="33"/>
        <v>0</v>
      </c>
      <c r="AU22" s="26">
        <f t="shared" si="34"/>
        <v>20</v>
      </c>
      <c r="AV22" s="26">
        <f t="shared" si="35"/>
        <v>0</v>
      </c>
      <c r="AW22" s="25">
        <v>209</v>
      </c>
      <c r="AX22" s="11" t="str">
        <f t="shared" si="36"/>
        <v>Фахритдинов Альберт Фикратович 
Головко Кирилл Юрьевич</v>
      </c>
      <c r="AY22" s="11" t="str">
        <f t="shared" si="37"/>
        <v>Екатеринбург
Екатеринбург</v>
      </c>
      <c r="AZ22" s="11" t="str">
        <f t="shared" si="38"/>
        <v>Jeep Grand Cherokee</v>
      </c>
      <c r="BA22" s="15" t="str">
        <f t="shared" si="39"/>
        <v>DNF</v>
      </c>
      <c r="BB22" s="26">
        <f t="shared" si="40"/>
        <v>0</v>
      </c>
      <c r="BC22" s="26">
        <f t="shared" si="41"/>
        <v>20</v>
      </c>
      <c r="BD22" s="26">
        <f t="shared" si="42"/>
        <v>20</v>
      </c>
      <c r="BE22" s="15" t="str">
        <f t="shared" si="43"/>
        <v>DNF</v>
      </c>
      <c r="BF22" s="26">
        <f t="shared" si="44"/>
        <v>0</v>
      </c>
      <c r="BG22" s="26">
        <f t="shared" si="45"/>
        <v>20</v>
      </c>
      <c r="BH22" s="26">
        <f t="shared" si="46"/>
        <v>20</v>
      </c>
      <c r="BI22" s="15">
        <f t="shared" si="47"/>
        <v>0</v>
      </c>
      <c r="BJ22" s="26">
        <f t="shared" si="48"/>
        <v>0</v>
      </c>
      <c r="BK22" s="26">
        <f t="shared" si="49"/>
        <v>0</v>
      </c>
      <c r="BL22" s="26">
        <f t="shared" si="50"/>
        <v>0</v>
      </c>
      <c r="BM22" s="25">
        <v>209</v>
      </c>
      <c r="BN22" s="11" t="str">
        <f t="shared" si="51"/>
        <v>Фахритдинов Альберт Фикратович 
Головко Кирилл Юрьевич</v>
      </c>
      <c r="BO22" s="11" t="str">
        <f t="shared" si="52"/>
        <v>Екатеринбург
Екатеринбург</v>
      </c>
      <c r="BP22" s="11" t="str">
        <f t="shared" si="53"/>
        <v>Jeep Grand Cherokee</v>
      </c>
      <c r="BQ22" s="15">
        <f t="shared" si="54"/>
        <v>0</v>
      </c>
      <c r="BR22" s="26">
        <f t="shared" si="55"/>
        <v>0</v>
      </c>
      <c r="BS22" s="26">
        <f t="shared" si="56"/>
        <v>0</v>
      </c>
      <c r="BT22" s="26">
        <f t="shared" si="57"/>
        <v>0</v>
      </c>
      <c r="BU22" s="15">
        <f t="shared" si="58"/>
        <v>7.8009259259259256E-3</v>
      </c>
      <c r="BV22" s="26">
        <f t="shared" si="59"/>
        <v>0</v>
      </c>
      <c r="BW22" s="26">
        <f t="shared" si="60"/>
        <v>81</v>
      </c>
      <c r="BX22" s="26">
        <f t="shared" si="61"/>
        <v>81</v>
      </c>
      <c r="BY22" s="15" t="str">
        <f t="shared" si="62"/>
        <v>DNF</v>
      </c>
      <c r="BZ22" s="26">
        <f t="shared" si="63"/>
        <v>0</v>
      </c>
      <c r="CA22" s="26">
        <f t="shared" si="64"/>
        <v>20</v>
      </c>
      <c r="CB22" s="26">
        <f t="shared" si="65"/>
        <v>20</v>
      </c>
      <c r="CC22" s="25">
        <v>209</v>
      </c>
      <c r="CD22" s="11" t="str">
        <f t="shared" si="66"/>
        <v>Фахритдинов Альберт Фикратович 
Головко Кирилл Юрьевич</v>
      </c>
      <c r="CE22" s="11" t="str">
        <f t="shared" si="67"/>
        <v>Екатеринбург
Екатеринбург</v>
      </c>
      <c r="CF22" s="11" t="str">
        <f t="shared" si="68"/>
        <v>Jeep Grand Cherokee</v>
      </c>
      <c r="CG22" s="15" t="str">
        <f t="shared" si="69"/>
        <v>DNF</v>
      </c>
      <c r="CH22" s="26">
        <f t="shared" si="70"/>
        <v>0</v>
      </c>
      <c r="CI22" s="26">
        <f t="shared" si="71"/>
        <v>20</v>
      </c>
      <c r="CJ22" s="26">
        <f t="shared" si="72"/>
        <v>20</v>
      </c>
      <c r="CK22" s="15">
        <f t="shared" si="73"/>
        <v>0</v>
      </c>
      <c r="CL22" s="26">
        <f t="shared" si="74"/>
        <v>0</v>
      </c>
      <c r="CM22" s="26">
        <f t="shared" si="75"/>
        <v>0</v>
      </c>
      <c r="CN22" s="26">
        <f t="shared" si="76"/>
        <v>0</v>
      </c>
      <c r="CO22" s="15">
        <f t="shared" si="77"/>
        <v>0</v>
      </c>
      <c r="CP22" s="26">
        <f t="shared" si="78"/>
        <v>0</v>
      </c>
      <c r="CQ22" s="26">
        <f t="shared" si="79"/>
        <v>0</v>
      </c>
      <c r="CR22" s="26">
        <f t="shared" si="80"/>
        <v>0</v>
      </c>
    </row>
    <row r="23" spans="1:96" s="6" customFormat="1" ht="18.75" x14ac:dyDescent="0.25">
      <c r="A23" s="25">
        <v>210</v>
      </c>
      <c r="B23" s="11" t="e">
        <f t="shared" si="0"/>
        <v>#N/A</v>
      </c>
      <c r="C23" s="11" t="e">
        <f t="shared" si="1"/>
        <v>#N/A</v>
      </c>
      <c r="D23" s="11" t="e">
        <f t="shared" si="2"/>
        <v>#N/A</v>
      </c>
      <c r="E23" s="15" t="e">
        <f t="shared" si="3"/>
        <v>#N/A</v>
      </c>
      <c r="F23" s="26"/>
      <c r="G23" s="26" t="e">
        <f t="shared" si="4"/>
        <v>#N/A</v>
      </c>
      <c r="H23" s="26" t="e">
        <f t="shared" si="5"/>
        <v>#N/A</v>
      </c>
      <c r="I23" s="69"/>
      <c r="J23" s="70"/>
      <c r="K23" s="70"/>
      <c r="L23" s="70"/>
      <c r="M23" s="71"/>
      <c r="N23" s="70"/>
      <c r="O23" s="70"/>
      <c r="P23" s="70"/>
      <c r="Q23" s="25">
        <v>210</v>
      </c>
      <c r="R23" s="11" t="e">
        <f t="shared" si="6"/>
        <v>#N/A</v>
      </c>
      <c r="S23" s="11" t="e">
        <f t="shared" si="7"/>
        <v>#N/A</v>
      </c>
      <c r="T23" s="11" t="e">
        <f t="shared" si="8"/>
        <v>#N/A</v>
      </c>
      <c r="U23" s="15" t="e">
        <f t="shared" si="9"/>
        <v>#N/A</v>
      </c>
      <c r="V23" s="26" t="e">
        <f t="shared" si="10"/>
        <v>#N/A</v>
      </c>
      <c r="W23" s="26" t="e">
        <f t="shared" si="11"/>
        <v>#N/A</v>
      </c>
      <c r="X23" s="26" t="e">
        <f t="shared" si="12"/>
        <v>#N/A</v>
      </c>
      <c r="Y23" s="15" t="e">
        <f t="shared" si="13"/>
        <v>#N/A</v>
      </c>
      <c r="Z23" s="26" t="e">
        <f t="shared" si="14"/>
        <v>#N/A</v>
      </c>
      <c r="AA23" s="26" t="e">
        <f t="shared" si="15"/>
        <v>#N/A</v>
      </c>
      <c r="AB23" s="26" t="e">
        <f t="shared" si="16"/>
        <v>#N/A</v>
      </c>
      <c r="AC23" s="15" t="e">
        <f t="shared" si="17"/>
        <v>#N/A</v>
      </c>
      <c r="AD23" s="26" t="e">
        <f t="shared" si="18"/>
        <v>#N/A</v>
      </c>
      <c r="AE23" s="26" t="e">
        <f t="shared" si="19"/>
        <v>#N/A</v>
      </c>
      <c r="AF23" s="26" t="e">
        <f t="shared" si="20"/>
        <v>#N/A</v>
      </c>
      <c r="AG23" s="25">
        <v>210</v>
      </c>
      <c r="AH23" s="11" t="e">
        <f t="shared" si="21"/>
        <v>#N/A</v>
      </c>
      <c r="AI23" s="11" t="e">
        <f t="shared" si="22"/>
        <v>#N/A</v>
      </c>
      <c r="AJ23" s="11" t="e">
        <f t="shared" si="23"/>
        <v>#N/A</v>
      </c>
      <c r="AK23" s="15" t="e">
        <f t="shared" si="24"/>
        <v>#N/A</v>
      </c>
      <c r="AL23" s="26" t="e">
        <f t="shared" si="25"/>
        <v>#N/A</v>
      </c>
      <c r="AM23" s="26" t="e">
        <f t="shared" si="26"/>
        <v>#N/A</v>
      </c>
      <c r="AN23" s="26" t="e">
        <f t="shared" si="27"/>
        <v>#N/A</v>
      </c>
      <c r="AO23" s="15" t="e">
        <f t="shared" si="28"/>
        <v>#N/A</v>
      </c>
      <c r="AP23" s="26" t="e">
        <f t="shared" si="29"/>
        <v>#N/A</v>
      </c>
      <c r="AQ23" s="26" t="e">
        <f t="shared" si="30"/>
        <v>#N/A</v>
      </c>
      <c r="AR23" s="26" t="e">
        <f t="shared" si="31"/>
        <v>#N/A</v>
      </c>
      <c r="AS23" s="15" t="e">
        <f t="shared" si="32"/>
        <v>#N/A</v>
      </c>
      <c r="AT23" s="26" t="e">
        <f t="shared" si="33"/>
        <v>#N/A</v>
      </c>
      <c r="AU23" s="26" t="e">
        <f t="shared" si="34"/>
        <v>#N/A</v>
      </c>
      <c r="AV23" s="26" t="e">
        <f t="shared" si="35"/>
        <v>#N/A</v>
      </c>
      <c r="AW23" s="25">
        <v>210</v>
      </c>
      <c r="AX23" s="11" t="e">
        <f t="shared" si="36"/>
        <v>#N/A</v>
      </c>
      <c r="AY23" s="11" t="e">
        <f t="shared" si="37"/>
        <v>#N/A</v>
      </c>
      <c r="AZ23" s="11" t="e">
        <f t="shared" si="38"/>
        <v>#N/A</v>
      </c>
      <c r="BA23" s="15" t="e">
        <f t="shared" si="39"/>
        <v>#N/A</v>
      </c>
      <c r="BB23" s="26" t="e">
        <f t="shared" si="40"/>
        <v>#N/A</v>
      </c>
      <c r="BC23" s="26" t="e">
        <f t="shared" si="41"/>
        <v>#N/A</v>
      </c>
      <c r="BD23" s="26" t="e">
        <f t="shared" si="42"/>
        <v>#N/A</v>
      </c>
      <c r="BE23" s="15" t="e">
        <f t="shared" si="43"/>
        <v>#N/A</v>
      </c>
      <c r="BF23" s="26" t="e">
        <f t="shared" si="44"/>
        <v>#N/A</v>
      </c>
      <c r="BG23" s="26" t="e">
        <f t="shared" si="45"/>
        <v>#N/A</v>
      </c>
      <c r="BH23" s="26" t="e">
        <f t="shared" si="46"/>
        <v>#N/A</v>
      </c>
      <c r="BI23" s="15" t="e">
        <f t="shared" si="47"/>
        <v>#N/A</v>
      </c>
      <c r="BJ23" s="26" t="e">
        <f t="shared" si="48"/>
        <v>#N/A</v>
      </c>
      <c r="BK23" s="26" t="e">
        <f t="shared" si="49"/>
        <v>#N/A</v>
      </c>
      <c r="BL23" s="26" t="e">
        <f t="shared" si="50"/>
        <v>#N/A</v>
      </c>
      <c r="BM23" s="25">
        <v>210</v>
      </c>
      <c r="BN23" s="11" t="e">
        <f t="shared" si="51"/>
        <v>#N/A</v>
      </c>
      <c r="BO23" s="11" t="e">
        <f t="shared" si="52"/>
        <v>#N/A</v>
      </c>
      <c r="BP23" s="11" t="e">
        <f t="shared" si="53"/>
        <v>#N/A</v>
      </c>
      <c r="BQ23" s="15" t="e">
        <f t="shared" si="54"/>
        <v>#N/A</v>
      </c>
      <c r="BR23" s="26" t="e">
        <f t="shared" si="55"/>
        <v>#N/A</v>
      </c>
      <c r="BS23" s="26" t="e">
        <f t="shared" si="56"/>
        <v>#N/A</v>
      </c>
      <c r="BT23" s="26" t="e">
        <f t="shared" si="57"/>
        <v>#N/A</v>
      </c>
      <c r="BU23" s="15" t="e">
        <f t="shared" si="58"/>
        <v>#N/A</v>
      </c>
      <c r="BV23" s="26" t="e">
        <f t="shared" si="59"/>
        <v>#N/A</v>
      </c>
      <c r="BW23" s="26" t="e">
        <f t="shared" si="60"/>
        <v>#N/A</v>
      </c>
      <c r="BX23" s="26" t="e">
        <f t="shared" si="61"/>
        <v>#N/A</v>
      </c>
      <c r="BY23" s="15" t="e">
        <f t="shared" si="62"/>
        <v>#N/A</v>
      </c>
      <c r="BZ23" s="26" t="e">
        <f t="shared" si="63"/>
        <v>#N/A</v>
      </c>
      <c r="CA23" s="26" t="e">
        <f t="shared" si="64"/>
        <v>#N/A</v>
      </c>
      <c r="CB23" s="26" t="e">
        <f t="shared" si="65"/>
        <v>#N/A</v>
      </c>
      <c r="CC23" s="25">
        <v>210</v>
      </c>
      <c r="CD23" s="11" t="e">
        <f t="shared" si="66"/>
        <v>#N/A</v>
      </c>
      <c r="CE23" s="11" t="e">
        <f t="shared" si="67"/>
        <v>#N/A</v>
      </c>
      <c r="CF23" s="11" t="e">
        <f t="shared" si="68"/>
        <v>#N/A</v>
      </c>
      <c r="CG23" s="15" t="e">
        <f t="shared" si="69"/>
        <v>#N/A</v>
      </c>
      <c r="CH23" s="26" t="e">
        <f t="shared" si="70"/>
        <v>#N/A</v>
      </c>
      <c r="CI23" s="26" t="e">
        <f t="shared" si="71"/>
        <v>#N/A</v>
      </c>
      <c r="CJ23" s="26" t="e">
        <f t="shared" si="72"/>
        <v>#N/A</v>
      </c>
      <c r="CK23" s="15" t="e">
        <f t="shared" si="73"/>
        <v>#N/A</v>
      </c>
      <c r="CL23" s="26" t="e">
        <f t="shared" si="74"/>
        <v>#N/A</v>
      </c>
      <c r="CM23" s="26" t="e">
        <f t="shared" si="75"/>
        <v>#N/A</v>
      </c>
      <c r="CN23" s="26" t="e">
        <f t="shared" si="76"/>
        <v>#N/A</v>
      </c>
      <c r="CO23" s="15" t="e">
        <f t="shared" si="77"/>
        <v>#N/A</v>
      </c>
      <c r="CP23" s="26" t="e">
        <f t="shared" si="78"/>
        <v>#N/A</v>
      </c>
      <c r="CQ23" s="26" t="e">
        <f t="shared" si="79"/>
        <v>#N/A</v>
      </c>
      <c r="CR23" s="26" t="e">
        <f t="shared" si="80"/>
        <v>#N/A</v>
      </c>
    </row>
    <row r="24" spans="1:96" s="6" customFormat="1" ht="18.75" x14ac:dyDescent="0.25">
      <c r="A24" s="25">
        <v>211</v>
      </c>
      <c r="B24" s="11" t="e">
        <f t="shared" si="0"/>
        <v>#N/A</v>
      </c>
      <c r="C24" s="11" t="e">
        <f t="shared" si="1"/>
        <v>#N/A</v>
      </c>
      <c r="D24" s="11" t="e">
        <f t="shared" si="2"/>
        <v>#N/A</v>
      </c>
      <c r="E24" s="15" t="e">
        <f t="shared" si="3"/>
        <v>#N/A</v>
      </c>
      <c r="F24" s="26"/>
      <c r="G24" s="26" t="e">
        <f t="shared" si="4"/>
        <v>#N/A</v>
      </c>
      <c r="H24" s="26" t="e">
        <f t="shared" si="5"/>
        <v>#N/A</v>
      </c>
      <c r="I24" s="69"/>
      <c r="J24" s="70"/>
      <c r="K24" s="70"/>
      <c r="L24" s="70"/>
      <c r="M24" s="71"/>
      <c r="N24" s="70"/>
      <c r="O24" s="70"/>
      <c r="P24" s="70"/>
      <c r="Q24" s="25">
        <v>211</v>
      </c>
      <c r="R24" s="11" t="e">
        <f t="shared" si="6"/>
        <v>#N/A</v>
      </c>
      <c r="S24" s="11" t="e">
        <f t="shared" si="7"/>
        <v>#N/A</v>
      </c>
      <c r="T24" s="11" t="e">
        <f t="shared" si="8"/>
        <v>#N/A</v>
      </c>
      <c r="U24" s="15" t="e">
        <f t="shared" si="9"/>
        <v>#N/A</v>
      </c>
      <c r="V24" s="26" t="e">
        <f t="shared" si="10"/>
        <v>#N/A</v>
      </c>
      <c r="W24" s="26" t="e">
        <f t="shared" si="11"/>
        <v>#N/A</v>
      </c>
      <c r="X24" s="26" t="e">
        <f t="shared" si="12"/>
        <v>#N/A</v>
      </c>
      <c r="Y24" s="15" t="e">
        <f t="shared" si="13"/>
        <v>#N/A</v>
      </c>
      <c r="Z24" s="26" t="e">
        <f t="shared" si="14"/>
        <v>#N/A</v>
      </c>
      <c r="AA24" s="26" t="e">
        <f t="shared" si="15"/>
        <v>#N/A</v>
      </c>
      <c r="AB24" s="26" t="e">
        <f t="shared" si="16"/>
        <v>#N/A</v>
      </c>
      <c r="AC24" s="15" t="e">
        <f t="shared" si="17"/>
        <v>#N/A</v>
      </c>
      <c r="AD24" s="26" t="e">
        <f t="shared" si="18"/>
        <v>#N/A</v>
      </c>
      <c r="AE24" s="26" t="e">
        <f t="shared" si="19"/>
        <v>#N/A</v>
      </c>
      <c r="AF24" s="26" t="e">
        <f t="shared" si="20"/>
        <v>#N/A</v>
      </c>
      <c r="AG24" s="25">
        <v>211</v>
      </c>
      <c r="AH24" s="11" t="e">
        <f t="shared" si="21"/>
        <v>#N/A</v>
      </c>
      <c r="AI24" s="11" t="e">
        <f t="shared" si="22"/>
        <v>#N/A</v>
      </c>
      <c r="AJ24" s="11" t="e">
        <f t="shared" si="23"/>
        <v>#N/A</v>
      </c>
      <c r="AK24" s="15" t="e">
        <f t="shared" si="24"/>
        <v>#N/A</v>
      </c>
      <c r="AL24" s="26" t="e">
        <f t="shared" si="25"/>
        <v>#N/A</v>
      </c>
      <c r="AM24" s="26" t="e">
        <f t="shared" si="26"/>
        <v>#N/A</v>
      </c>
      <c r="AN24" s="26" t="e">
        <f t="shared" si="27"/>
        <v>#N/A</v>
      </c>
      <c r="AO24" s="15" t="e">
        <f t="shared" si="28"/>
        <v>#N/A</v>
      </c>
      <c r="AP24" s="26" t="e">
        <f t="shared" si="29"/>
        <v>#N/A</v>
      </c>
      <c r="AQ24" s="26" t="e">
        <f t="shared" si="30"/>
        <v>#N/A</v>
      </c>
      <c r="AR24" s="26" t="e">
        <f t="shared" si="31"/>
        <v>#N/A</v>
      </c>
      <c r="AS24" s="15" t="e">
        <f t="shared" si="32"/>
        <v>#N/A</v>
      </c>
      <c r="AT24" s="26" t="e">
        <f t="shared" si="33"/>
        <v>#N/A</v>
      </c>
      <c r="AU24" s="26" t="e">
        <f t="shared" si="34"/>
        <v>#N/A</v>
      </c>
      <c r="AV24" s="26" t="e">
        <f t="shared" si="35"/>
        <v>#N/A</v>
      </c>
      <c r="AW24" s="25">
        <v>211</v>
      </c>
      <c r="AX24" s="11" t="e">
        <f t="shared" si="36"/>
        <v>#N/A</v>
      </c>
      <c r="AY24" s="11" t="e">
        <f t="shared" si="37"/>
        <v>#N/A</v>
      </c>
      <c r="AZ24" s="11" t="e">
        <f t="shared" si="38"/>
        <v>#N/A</v>
      </c>
      <c r="BA24" s="15" t="e">
        <f t="shared" si="39"/>
        <v>#N/A</v>
      </c>
      <c r="BB24" s="26" t="e">
        <f t="shared" si="40"/>
        <v>#N/A</v>
      </c>
      <c r="BC24" s="26" t="e">
        <f t="shared" si="41"/>
        <v>#N/A</v>
      </c>
      <c r="BD24" s="26" t="e">
        <f t="shared" si="42"/>
        <v>#N/A</v>
      </c>
      <c r="BE24" s="15" t="e">
        <f t="shared" si="43"/>
        <v>#N/A</v>
      </c>
      <c r="BF24" s="26" t="e">
        <f t="shared" si="44"/>
        <v>#N/A</v>
      </c>
      <c r="BG24" s="26" t="e">
        <f t="shared" si="45"/>
        <v>#N/A</v>
      </c>
      <c r="BH24" s="26" t="e">
        <f t="shared" si="46"/>
        <v>#N/A</v>
      </c>
      <c r="BI24" s="15" t="e">
        <f t="shared" si="47"/>
        <v>#N/A</v>
      </c>
      <c r="BJ24" s="26" t="e">
        <f t="shared" si="48"/>
        <v>#N/A</v>
      </c>
      <c r="BK24" s="26" t="e">
        <f t="shared" si="49"/>
        <v>#N/A</v>
      </c>
      <c r="BL24" s="26" t="e">
        <f t="shared" si="50"/>
        <v>#N/A</v>
      </c>
      <c r="BM24" s="25">
        <v>211</v>
      </c>
      <c r="BN24" s="11" t="e">
        <f t="shared" si="51"/>
        <v>#N/A</v>
      </c>
      <c r="BO24" s="11" t="e">
        <f t="shared" si="52"/>
        <v>#N/A</v>
      </c>
      <c r="BP24" s="11" t="e">
        <f t="shared" si="53"/>
        <v>#N/A</v>
      </c>
      <c r="BQ24" s="15" t="e">
        <f t="shared" si="54"/>
        <v>#N/A</v>
      </c>
      <c r="BR24" s="26" t="e">
        <f t="shared" si="55"/>
        <v>#N/A</v>
      </c>
      <c r="BS24" s="26" t="e">
        <f t="shared" si="56"/>
        <v>#N/A</v>
      </c>
      <c r="BT24" s="26" t="e">
        <f t="shared" si="57"/>
        <v>#N/A</v>
      </c>
      <c r="BU24" s="15" t="e">
        <f t="shared" si="58"/>
        <v>#N/A</v>
      </c>
      <c r="BV24" s="26" t="e">
        <f t="shared" si="59"/>
        <v>#N/A</v>
      </c>
      <c r="BW24" s="26" t="e">
        <f t="shared" si="60"/>
        <v>#N/A</v>
      </c>
      <c r="BX24" s="26" t="e">
        <f t="shared" si="61"/>
        <v>#N/A</v>
      </c>
      <c r="BY24" s="15" t="e">
        <f t="shared" si="62"/>
        <v>#N/A</v>
      </c>
      <c r="BZ24" s="26" t="e">
        <f t="shared" si="63"/>
        <v>#N/A</v>
      </c>
      <c r="CA24" s="26" t="e">
        <f t="shared" si="64"/>
        <v>#N/A</v>
      </c>
      <c r="CB24" s="26" t="e">
        <f t="shared" si="65"/>
        <v>#N/A</v>
      </c>
      <c r="CC24" s="25">
        <v>211</v>
      </c>
      <c r="CD24" s="11" t="e">
        <f t="shared" si="66"/>
        <v>#N/A</v>
      </c>
      <c r="CE24" s="11" t="e">
        <f t="shared" si="67"/>
        <v>#N/A</v>
      </c>
      <c r="CF24" s="11" t="e">
        <f t="shared" si="68"/>
        <v>#N/A</v>
      </c>
      <c r="CG24" s="15" t="e">
        <f t="shared" si="69"/>
        <v>#N/A</v>
      </c>
      <c r="CH24" s="26" t="e">
        <f t="shared" si="70"/>
        <v>#N/A</v>
      </c>
      <c r="CI24" s="26" t="e">
        <f t="shared" si="71"/>
        <v>#N/A</v>
      </c>
      <c r="CJ24" s="26" t="e">
        <f t="shared" si="72"/>
        <v>#N/A</v>
      </c>
      <c r="CK24" s="15" t="e">
        <f t="shared" si="73"/>
        <v>#N/A</v>
      </c>
      <c r="CL24" s="26" t="e">
        <f t="shared" si="74"/>
        <v>#N/A</v>
      </c>
      <c r="CM24" s="26" t="e">
        <f t="shared" si="75"/>
        <v>#N/A</v>
      </c>
      <c r="CN24" s="26" t="e">
        <f t="shared" si="76"/>
        <v>#N/A</v>
      </c>
      <c r="CO24" s="15" t="e">
        <f t="shared" si="77"/>
        <v>#N/A</v>
      </c>
      <c r="CP24" s="26" t="e">
        <f t="shared" si="78"/>
        <v>#N/A</v>
      </c>
      <c r="CQ24" s="26" t="e">
        <f t="shared" si="79"/>
        <v>#N/A</v>
      </c>
      <c r="CR24" s="26" t="e">
        <f t="shared" si="80"/>
        <v>#N/A</v>
      </c>
    </row>
    <row r="25" spans="1:96" s="6" customFormat="1" ht="18.75" x14ac:dyDescent="0.25">
      <c r="A25" s="25">
        <v>212</v>
      </c>
      <c r="B25" s="11" t="e">
        <f t="shared" si="0"/>
        <v>#N/A</v>
      </c>
      <c r="C25" s="11" t="e">
        <f t="shared" si="1"/>
        <v>#N/A</v>
      </c>
      <c r="D25" s="11" t="e">
        <f t="shared" si="2"/>
        <v>#N/A</v>
      </c>
      <c r="E25" s="15" t="e">
        <f t="shared" si="3"/>
        <v>#N/A</v>
      </c>
      <c r="F25" s="26"/>
      <c r="G25" s="26" t="e">
        <f t="shared" si="4"/>
        <v>#N/A</v>
      </c>
      <c r="H25" s="26" t="e">
        <f t="shared" si="5"/>
        <v>#N/A</v>
      </c>
      <c r="I25" s="69"/>
      <c r="J25" s="70"/>
      <c r="K25" s="70"/>
      <c r="L25" s="70"/>
      <c r="M25" s="71"/>
      <c r="N25" s="70"/>
      <c r="O25" s="70"/>
      <c r="P25" s="70"/>
      <c r="Q25" s="25">
        <v>212</v>
      </c>
      <c r="R25" s="11" t="e">
        <f t="shared" si="6"/>
        <v>#N/A</v>
      </c>
      <c r="S25" s="11" t="e">
        <f t="shared" si="7"/>
        <v>#N/A</v>
      </c>
      <c r="T25" s="11" t="e">
        <f t="shared" si="8"/>
        <v>#N/A</v>
      </c>
      <c r="U25" s="15" t="e">
        <f t="shared" si="9"/>
        <v>#N/A</v>
      </c>
      <c r="V25" s="26" t="e">
        <f t="shared" si="10"/>
        <v>#N/A</v>
      </c>
      <c r="W25" s="26" t="e">
        <f t="shared" si="11"/>
        <v>#N/A</v>
      </c>
      <c r="X25" s="26" t="e">
        <f t="shared" si="12"/>
        <v>#N/A</v>
      </c>
      <c r="Y25" s="15" t="e">
        <f t="shared" si="13"/>
        <v>#N/A</v>
      </c>
      <c r="Z25" s="26" t="e">
        <f t="shared" si="14"/>
        <v>#N/A</v>
      </c>
      <c r="AA25" s="26" t="e">
        <f t="shared" si="15"/>
        <v>#N/A</v>
      </c>
      <c r="AB25" s="26" t="e">
        <f t="shared" si="16"/>
        <v>#N/A</v>
      </c>
      <c r="AC25" s="15" t="e">
        <f t="shared" si="17"/>
        <v>#N/A</v>
      </c>
      <c r="AD25" s="26" t="e">
        <f t="shared" si="18"/>
        <v>#N/A</v>
      </c>
      <c r="AE25" s="26" t="e">
        <f t="shared" si="19"/>
        <v>#N/A</v>
      </c>
      <c r="AF25" s="26" t="e">
        <f t="shared" si="20"/>
        <v>#N/A</v>
      </c>
      <c r="AG25" s="25">
        <v>212</v>
      </c>
      <c r="AH25" s="11" t="e">
        <f t="shared" si="21"/>
        <v>#N/A</v>
      </c>
      <c r="AI25" s="11" t="e">
        <f t="shared" si="22"/>
        <v>#N/A</v>
      </c>
      <c r="AJ25" s="11" t="e">
        <f t="shared" si="23"/>
        <v>#N/A</v>
      </c>
      <c r="AK25" s="15" t="e">
        <f t="shared" si="24"/>
        <v>#N/A</v>
      </c>
      <c r="AL25" s="26" t="e">
        <f t="shared" si="25"/>
        <v>#N/A</v>
      </c>
      <c r="AM25" s="26" t="e">
        <f t="shared" si="26"/>
        <v>#N/A</v>
      </c>
      <c r="AN25" s="26" t="e">
        <f t="shared" si="27"/>
        <v>#N/A</v>
      </c>
      <c r="AO25" s="15" t="e">
        <f t="shared" si="28"/>
        <v>#N/A</v>
      </c>
      <c r="AP25" s="26" t="e">
        <f t="shared" si="29"/>
        <v>#N/A</v>
      </c>
      <c r="AQ25" s="26" t="e">
        <f t="shared" si="30"/>
        <v>#N/A</v>
      </c>
      <c r="AR25" s="26" t="e">
        <f t="shared" si="31"/>
        <v>#N/A</v>
      </c>
      <c r="AS25" s="15" t="e">
        <f t="shared" si="32"/>
        <v>#N/A</v>
      </c>
      <c r="AT25" s="26" t="e">
        <f t="shared" si="33"/>
        <v>#N/A</v>
      </c>
      <c r="AU25" s="26" t="e">
        <f t="shared" si="34"/>
        <v>#N/A</v>
      </c>
      <c r="AV25" s="26" t="e">
        <f t="shared" si="35"/>
        <v>#N/A</v>
      </c>
      <c r="AW25" s="25">
        <v>212</v>
      </c>
      <c r="AX25" s="11" t="e">
        <f t="shared" si="36"/>
        <v>#N/A</v>
      </c>
      <c r="AY25" s="11" t="e">
        <f t="shared" si="37"/>
        <v>#N/A</v>
      </c>
      <c r="AZ25" s="11" t="e">
        <f t="shared" si="38"/>
        <v>#N/A</v>
      </c>
      <c r="BA25" s="15" t="e">
        <f t="shared" si="39"/>
        <v>#N/A</v>
      </c>
      <c r="BB25" s="26" t="e">
        <f t="shared" si="40"/>
        <v>#N/A</v>
      </c>
      <c r="BC25" s="26" t="e">
        <f t="shared" si="41"/>
        <v>#N/A</v>
      </c>
      <c r="BD25" s="26" t="e">
        <f t="shared" si="42"/>
        <v>#N/A</v>
      </c>
      <c r="BE25" s="15" t="e">
        <f t="shared" si="43"/>
        <v>#N/A</v>
      </c>
      <c r="BF25" s="26" t="e">
        <f t="shared" si="44"/>
        <v>#N/A</v>
      </c>
      <c r="BG25" s="26" t="e">
        <f t="shared" si="45"/>
        <v>#N/A</v>
      </c>
      <c r="BH25" s="26" t="e">
        <f t="shared" si="46"/>
        <v>#N/A</v>
      </c>
      <c r="BI25" s="15" t="e">
        <f t="shared" si="47"/>
        <v>#N/A</v>
      </c>
      <c r="BJ25" s="26" t="e">
        <f t="shared" si="48"/>
        <v>#N/A</v>
      </c>
      <c r="BK25" s="26" t="e">
        <f t="shared" si="49"/>
        <v>#N/A</v>
      </c>
      <c r="BL25" s="26" t="e">
        <f t="shared" si="50"/>
        <v>#N/A</v>
      </c>
      <c r="BM25" s="25">
        <v>212</v>
      </c>
      <c r="BN25" s="11" t="e">
        <f t="shared" si="51"/>
        <v>#N/A</v>
      </c>
      <c r="BO25" s="11" t="e">
        <f t="shared" si="52"/>
        <v>#N/A</v>
      </c>
      <c r="BP25" s="11" t="e">
        <f t="shared" si="53"/>
        <v>#N/A</v>
      </c>
      <c r="BQ25" s="15" t="e">
        <f t="shared" si="54"/>
        <v>#N/A</v>
      </c>
      <c r="BR25" s="26" t="e">
        <f t="shared" si="55"/>
        <v>#N/A</v>
      </c>
      <c r="BS25" s="26" t="e">
        <f t="shared" si="56"/>
        <v>#N/A</v>
      </c>
      <c r="BT25" s="26" t="e">
        <f t="shared" si="57"/>
        <v>#N/A</v>
      </c>
      <c r="BU25" s="15" t="e">
        <f t="shared" si="58"/>
        <v>#N/A</v>
      </c>
      <c r="BV25" s="26" t="e">
        <f t="shared" si="59"/>
        <v>#N/A</v>
      </c>
      <c r="BW25" s="26" t="e">
        <f t="shared" si="60"/>
        <v>#N/A</v>
      </c>
      <c r="BX25" s="26" t="e">
        <f t="shared" si="61"/>
        <v>#N/A</v>
      </c>
      <c r="BY25" s="15" t="e">
        <f t="shared" si="62"/>
        <v>#N/A</v>
      </c>
      <c r="BZ25" s="26" t="e">
        <f t="shared" si="63"/>
        <v>#N/A</v>
      </c>
      <c r="CA25" s="26" t="e">
        <f t="shared" si="64"/>
        <v>#N/A</v>
      </c>
      <c r="CB25" s="26" t="e">
        <f t="shared" si="65"/>
        <v>#N/A</v>
      </c>
      <c r="CC25" s="25">
        <v>212</v>
      </c>
      <c r="CD25" s="11" t="e">
        <f t="shared" si="66"/>
        <v>#N/A</v>
      </c>
      <c r="CE25" s="11" t="e">
        <f t="shared" si="67"/>
        <v>#N/A</v>
      </c>
      <c r="CF25" s="11" t="e">
        <f t="shared" si="68"/>
        <v>#N/A</v>
      </c>
      <c r="CG25" s="15" t="e">
        <f t="shared" si="69"/>
        <v>#N/A</v>
      </c>
      <c r="CH25" s="26" t="e">
        <f t="shared" si="70"/>
        <v>#N/A</v>
      </c>
      <c r="CI25" s="26" t="e">
        <f t="shared" si="71"/>
        <v>#N/A</v>
      </c>
      <c r="CJ25" s="26" t="e">
        <f t="shared" si="72"/>
        <v>#N/A</v>
      </c>
      <c r="CK25" s="15" t="e">
        <f t="shared" si="73"/>
        <v>#N/A</v>
      </c>
      <c r="CL25" s="26" t="e">
        <f t="shared" si="74"/>
        <v>#N/A</v>
      </c>
      <c r="CM25" s="26" t="e">
        <f t="shared" si="75"/>
        <v>#N/A</v>
      </c>
      <c r="CN25" s="26" t="e">
        <f t="shared" si="76"/>
        <v>#N/A</v>
      </c>
      <c r="CO25" s="15" t="e">
        <f t="shared" si="77"/>
        <v>#N/A</v>
      </c>
      <c r="CP25" s="26" t="e">
        <f t="shared" si="78"/>
        <v>#N/A</v>
      </c>
      <c r="CQ25" s="26" t="e">
        <f t="shared" si="79"/>
        <v>#N/A</v>
      </c>
      <c r="CR25" s="26" t="e">
        <f t="shared" si="80"/>
        <v>#N/A</v>
      </c>
    </row>
    <row r="26" spans="1:96" s="6" customFormat="1" ht="18.75" x14ac:dyDescent="0.25">
      <c r="A26" s="25">
        <v>213</v>
      </c>
      <c r="B26" s="11" t="e">
        <f t="shared" si="0"/>
        <v>#N/A</v>
      </c>
      <c r="C26" s="11" t="e">
        <f t="shared" si="1"/>
        <v>#N/A</v>
      </c>
      <c r="D26" s="11" t="e">
        <f t="shared" si="2"/>
        <v>#N/A</v>
      </c>
      <c r="E26" s="15" t="e">
        <f t="shared" si="3"/>
        <v>#N/A</v>
      </c>
      <c r="F26" s="26"/>
      <c r="G26" s="26" t="e">
        <f t="shared" si="4"/>
        <v>#N/A</v>
      </c>
      <c r="H26" s="26" t="e">
        <f t="shared" si="5"/>
        <v>#N/A</v>
      </c>
      <c r="I26" s="69"/>
      <c r="J26" s="70"/>
      <c r="K26" s="70"/>
      <c r="L26" s="70"/>
      <c r="M26" s="71"/>
      <c r="N26" s="70"/>
      <c r="O26" s="70"/>
      <c r="P26" s="70"/>
      <c r="Q26" s="25">
        <v>213</v>
      </c>
      <c r="R26" s="11" t="e">
        <f t="shared" si="6"/>
        <v>#N/A</v>
      </c>
      <c r="S26" s="11" t="e">
        <f t="shared" si="7"/>
        <v>#N/A</v>
      </c>
      <c r="T26" s="11" t="e">
        <f t="shared" si="8"/>
        <v>#N/A</v>
      </c>
      <c r="U26" s="15" t="e">
        <f t="shared" si="9"/>
        <v>#N/A</v>
      </c>
      <c r="V26" s="26" t="e">
        <f t="shared" si="10"/>
        <v>#N/A</v>
      </c>
      <c r="W26" s="26" t="e">
        <f t="shared" si="11"/>
        <v>#N/A</v>
      </c>
      <c r="X26" s="26" t="e">
        <f t="shared" si="12"/>
        <v>#N/A</v>
      </c>
      <c r="Y26" s="15" t="e">
        <f t="shared" si="13"/>
        <v>#N/A</v>
      </c>
      <c r="Z26" s="26" t="e">
        <f t="shared" si="14"/>
        <v>#N/A</v>
      </c>
      <c r="AA26" s="26" t="e">
        <f t="shared" si="15"/>
        <v>#N/A</v>
      </c>
      <c r="AB26" s="26" t="e">
        <f t="shared" si="16"/>
        <v>#N/A</v>
      </c>
      <c r="AC26" s="15" t="e">
        <f t="shared" si="17"/>
        <v>#N/A</v>
      </c>
      <c r="AD26" s="26" t="e">
        <f t="shared" si="18"/>
        <v>#N/A</v>
      </c>
      <c r="AE26" s="26" t="e">
        <f t="shared" si="19"/>
        <v>#N/A</v>
      </c>
      <c r="AF26" s="26" t="e">
        <f t="shared" si="20"/>
        <v>#N/A</v>
      </c>
      <c r="AG26" s="25">
        <v>213</v>
      </c>
      <c r="AH26" s="11" t="e">
        <f t="shared" si="21"/>
        <v>#N/A</v>
      </c>
      <c r="AI26" s="11" t="e">
        <f t="shared" si="22"/>
        <v>#N/A</v>
      </c>
      <c r="AJ26" s="11" t="e">
        <f t="shared" si="23"/>
        <v>#N/A</v>
      </c>
      <c r="AK26" s="15" t="e">
        <f t="shared" si="24"/>
        <v>#N/A</v>
      </c>
      <c r="AL26" s="26" t="e">
        <f t="shared" si="25"/>
        <v>#N/A</v>
      </c>
      <c r="AM26" s="26" t="e">
        <f t="shared" si="26"/>
        <v>#N/A</v>
      </c>
      <c r="AN26" s="26" t="e">
        <f t="shared" si="27"/>
        <v>#N/A</v>
      </c>
      <c r="AO26" s="15" t="e">
        <f t="shared" si="28"/>
        <v>#N/A</v>
      </c>
      <c r="AP26" s="26" t="e">
        <f t="shared" si="29"/>
        <v>#N/A</v>
      </c>
      <c r="AQ26" s="26" t="e">
        <f t="shared" si="30"/>
        <v>#N/A</v>
      </c>
      <c r="AR26" s="26" t="e">
        <f t="shared" si="31"/>
        <v>#N/A</v>
      </c>
      <c r="AS26" s="15" t="e">
        <f t="shared" si="32"/>
        <v>#N/A</v>
      </c>
      <c r="AT26" s="26" t="e">
        <f t="shared" si="33"/>
        <v>#N/A</v>
      </c>
      <c r="AU26" s="26" t="e">
        <f t="shared" si="34"/>
        <v>#N/A</v>
      </c>
      <c r="AV26" s="26" t="e">
        <f t="shared" si="35"/>
        <v>#N/A</v>
      </c>
      <c r="AW26" s="25">
        <v>213</v>
      </c>
      <c r="AX26" s="11" t="e">
        <f t="shared" si="36"/>
        <v>#N/A</v>
      </c>
      <c r="AY26" s="11" t="e">
        <f t="shared" si="37"/>
        <v>#N/A</v>
      </c>
      <c r="AZ26" s="11" t="e">
        <f t="shared" si="38"/>
        <v>#N/A</v>
      </c>
      <c r="BA26" s="15" t="e">
        <f t="shared" si="39"/>
        <v>#N/A</v>
      </c>
      <c r="BB26" s="26" t="e">
        <f t="shared" si="40"/>
        <v>#N/A</v>
      </c>
      <c r="BC26" s="26" t="e">
        <f t="shared" si="41"/>
        <v>#N/A</v>
      </c>
      <c r="BD26" s="26" t="e">
        <f t="shared" si="42"/>
        <v>#N/A</v>
      </c>
      <c r="BE26" s="15" t="e">
        <f t="shared" si="43"/>
        <v>#N/A</v>
      </c>
      <c r="BF26" s="26" t="e">
        <f t="shared" si="44"/>
        <v>#N/A</v>
      </c>
      <c r="BG26" s="26" t="e">
        <f t="shared" si="45"/>
        <v>#N/A</v>
      </c>
      <c r="BH26" s="26" t="e">
        <f t="shared" si="46"/>
        <v>#N/A</v>
      </c>
      <c r="BI26" s="15" t="e">
        <f t="shared" si="47"/>
        <v>#N/A</v>
      </c>
      <c r="BJ26" s="26" t="e">
        <f t="shared" si="48"/>
        <v>#N/A</v>
      </c>
      <c r="BK26" s="26" t="e">
        <f t="shared" si="49"/>
        <v>#N/A</v>
      </c>
      <c r="BL26" s="26" t="e">
        <f t="shared" si="50"/>
        <v>#N/A</v>
      </c>
      <c r="BM26" s="25">
        <v>213</v>
      </c>
      <c r="BN26" s="11" t="e">
        <f t="shared" si="51"/>
        <v>#N/A</v>
      </c>
      <c r="BO26" s="11" t="e">
        <f t="shared" si="52"/>
        <v>#N/A</v>
      </c>
      <c r="BP26" s="11" t="e">
        <f t="shared" si="53"/>
        <v>#N/A</v>
      </c>
      <c r="BQ26" s="15" t="e">
        <f t="shared" si="54"/>
        <v>#N/A</v>
      </c>
      <c r="BR26" s="26" t="e">
        <f t="shared" si="55"/>
        <v>#N/A</v>
      </c>
      <c r="BS26" s="26" t="e">
        <f t="shared" si="56"/>
        <v>#N/A</v>
      </c>
      <c r="BT26" s="26" t="e">
        <f t="shared" si="57"/>
        <v>#N/A</v>
      </c>
      <c r="BU26" s="15" t="e">
        <f t="shared" si="58"/>
        <v>#N/A</v>
      </c>
      <c r="BV26" s="26" t="e">
        <f t="shared" si="59"/>
        <v>#N/A</v>
      </c>
      <c r="BW26" s="26" t="e">
        <f t="shared" si="60"/>
        <v>#N/A</v>
      </c>
      <c r="BX26" s="26" t="e">
        <f t="shared" si="61"/>
        <v>#N/A</v>
      </c>
      <c r="BY26" s="15" t="e">
        <f t="shared" si="62"/>
        <v>#N/A</v>
      </c>
      <c r="BZ26" s="26" t="e">
        <f t="shared" si="63"/>
        <v>#N/A</v>
      </c>
      <c r="CA26" s="26" t="e">
        <f t="shared" si="64"/>
        <v>#N/A</v>
      </c>
      <c r="CB26" s="26" t="e">
        <f t="shared" si="65"/>
        <v>#N/A</v>
      </c>
      <c r="CC26" s="25">
        <v>213</v>
      </c>
      <c r="CD26" s="11" t="e">
        <f t="shared" si="66"/>
        <v>#N/A</v>
      </c>
      <c r="CE26" s="11" t="e">
        <f t="shared" si="67"/>
        <v>#N/A</v>
      </c>
      <c r="CF26" s="11" t="e">
        <f t="shared" si="68"/>
        <v>#N/A</v>
      </c>
      <c r="CG26" s="15" t="e">
        <f t="shared" si="69"/>
        <v>#N/A</v>
      </c>
      <c r="CH26" s="26" t="e">
        <f t="shared" si="70"/>
        <v>#N/A</v>
      </c>
      <c r="CI26" s="26" t="e">
        <f t="shared" si="71"/>
        <v>#N/A</v>
      </c>
      <c r="CJ26" s="26" t="e">
        <f t="shared" si="72"/>
        <v>#N/A</v>
      </c>
      <c r="CK26" s="15" t="e">
        <f t="shared" si="73"/>
        <v>#N/A</v>
      </c>
      <c r="CL26" s="26" t="e">
        <f t="shared" si="74"/>
        <v>#N/A</v>
      </c>
      <c r="CM26" s="26" t="e">
        <f t="shared" si="75"/>
        <v>#N/A</v>
      </c>
      <c r="CN26" s="26" t="e">
        <f t="shared" si="76"/>
        <v>#N/A</v>
      </c>
      <c r="CO26" s="15" t="e">
        <f t="shared" si="77"/>
        <v>#N/A</v>
      </c>
      <c r="CP26" s="26" t="e">
        <f t="shared" si="78"/>
        <v>#N/A</v>
      </c>
      <c r="CQ26" s="26" t="e">
        <f t="shared" si="79"/>
        <v>#N/A</v>
      </c>
      <c r="CR26" s="26" t="e">
        <f t="shared" si="80"/>
        <v>#N/A</v>
      </c>
    </row>
    <row r="27" spans="1:96" s="6" customFormat="1" ht="18.75" x14ac:dyDescent="0.25">
      <c r="A27" s="25">
        <v>214</v>
      </c>
      <c r="B27" s="11" t="e">
        <f t="shared" si="0"/>
        <v>#N/A</v>
      </c>
      <c r="C27" s="11" t="e">
        <f t="shared" si="1"/>
        <v>#N/A</v>
      </c>
      <c r="D27" s="11" t="e">
        <f t="shared" si="2"/>
        <v>#N/A</v>
      </c>
      <c r="E27" s="15" t="e">
        <f t="shared" si="3"/>
        <v>#N/A</v>
      </c>
      <c r="F27" s="26"/>
      <c r="G27" s="26" t="e">
        <f t="shared" si="4"/>
        <v>#N/A</v>
      </c>
      <c r="H27" s="26" t="e">
        <f t="shared" si="5"/>
        <v>#N/A</v>
      </c>
      <c r="I27" s="69"/>
      <c r="J27" s="70"/>
      <c r="K27" s="70"/>
      <c r="L27" s="70"/>
      <c r="M27" s="71"/>
      <c r="N27" s="70"/>
      <c r="O27" s="70"/>
      <c r="P27" s="70"/>
      <c r="Q27" s="25">
        <v>214</v>
      </c>
      <c r="R27" s="11" t="e">
        <f t="shared" si="6"/>
        <v>#N/A</v>
      </c>
      <c r="S27" s="11" t="e">
        <f t="shared" si="7"/>
        <v>#N/A</v>
      </c>
      <c r="T27" s="11" t="e">
        <f t="shared" si="8"/>
        <v>#N/A</v>
      </c>
      <c r="U27" s="15" t="e">
        <f t="shared" si="9"/>
        <v>#N/A</v>
      </c>
      <c r="V27" s="26" t="e">
        <f t="shared" si="10"/>
        <v>#N/A</v>
      </c>
      <c r="W27" s="26" t="e">
        <f t="shared" si="11"/>
        <v>#N/A</v>
      </c>
      <c r="X27" s="26" t="e">
        <f t="shared" si="12"/>
        <v>#N/A</v>
      </c>
      <c r="Y27" s="15" t="e">
        <f t="shared" si="13"/>
        <v>#N/A</v>
      </c>
      <c r="Z27" s="26" t="e">
        <f t="shared" si="14"/>
        <v>#N/A</v>
      </c>
      <c r="AA27" s="26" t="e">
        <f t="shared" si="15"/>
        <v>#N/A</v>
      </c>
      <c r="AB27" s="26" t="e">
        <f t="shared" si="16"/>
        <v>#N/A</v>
      </c>
      <c r="AC27" s="15" t="e">
        <f t="shared" si="17"/>
        <v>#N/A</v>
      </c>
      <c r="AD27" s="26" t="e">
        <f t="shared" si="18"/>
        <v>#N/A</v>
      </c>
      <c r="AE27" s="26" t="e">
        <f t="shared" si="19"/>
        <v>#N/A</v>
      </c>
      <c r="AF27" s="26" t="e">
        <f t="shared" si="20"/>
        <v>#N/A</v>
      </c>
      <c r="AG27" s="25">
        <v>214</v>
      </c>
      <c r="AH27" s="11" t="e">
        <f t="shared" si="21"/>
        <v>#N/A</v>
      </c>
      <c r="AI27" s="11" t="e">
        <f t="shared" si="22"/>
        <v>#N/A</v>
      </c>
      <c r="AJ27" s="11" t="e">
        <f t="shared" si="23"/>
        <v>#N/A</v>
      </c>
      <c r="AK27" s="15" t="e">
        <f t="shared" si="24"/>
        <v>#N/A</v>
      </c>
      <c r="AL27" s="26" t="e">
        <f t="shared" si="25"/>
        <v>#N/A</v>
      </c>
      <c r="AM27" s="26" t="e">
        <f t="shared" si="26"/>
        <v>#N/A</v>
      </c>
      <c r="AN27" s="26" t="e">
        <f t="shared" si="27"/>
        <v>#N/A</v>
      </c>
      <c r="AO27" s="15" t="e">
        <f t="shared" si="28"/>
        <v>#N/A</v>
      </c>
      <c r="AP27" s="26" t="e">
        <f t="shared" si="29"/>
        <v>#N/A</v>
      </c>
      <c r="AQ27" s="26" t="e">
        <f t="shared" si="30"/>
        <v>#N/A</v>
      </c>
      <c r="AR27" s="26" t="e">
        <f t="shared" si="31"/>
        <v>#N/A</v>
      </c>
      <c r="AS27" s="15" t="e">
        <f t="shared" si="32"/>
        <v>#N/A</v>
      </c>
      <c r="AT27" s="26" t="e">
        <f t="shared" si="33"/>
        <v>#N/A</v>
      </c>
      <c r="AU27" s="26" t="e">
        <f t="shared" si="34"/>
        <v>#N/A</v>
      </c>
      <c r="AV27" s="26" t="e">
        <f t="shared" si="35"/>
        <v>#N/A</v>
      </c>
      <c r="AW27" s="25">
        <v>214</v>
      </c>
      <c r="AX27" s="11" t="e">
        <f t="shared" si="36"/>
        <v>#N/A</v>
      </c>
      <c r="AY27" s="11" t="e">
        <f t="shared" si="37"/>
        <v>#N/A</v>
      </c>
      <c r="AZ27" s="11" t="e">
        <f t="shared" si="38"/>
        <v>#N/A</v>
      </c>
      <c r="BA27" s="15" t="e">
        <f t="shared" si="39"/>
        <v>#N/A</v>
      </c>
      <c r="BB27" s="26" t="e">
        <f t="shared" si="40"/>
        <v>#N/A</v>
      </c>
      <c r="BC27" s="26" t="e">
        <f t="shared" si="41"/>
        <v>#N/A</v>
      </c>
      <c r="BD27" s="26" t="e">
        <f t="shared" si="42"/>
        <v>#N/A</v>
      </c>
      <c r="BE27" s="15" t="e">
        <f t="shared" si="43"/>
        <v>#N/A</v>
      </c>
      <c r="BF27" s="26" t="e">
        <f t="shared" si="44"/>
        <v>#N/A</v>
      </c>
      <c r="BG27" s="26" t="e">
        <f t="shared" si="45"/>
        <v>#N/A</v>
      </c>
      <c r="BH27" s="26" t="e">
        <f t="shared" si="46"/>
        <v>#N/A</v>
      </c>
      <c r="BI27" s="15" t="e">
        <f t="shared" si="47"/>
        <v>#N/A</v>
      </c>
      <c r="BJ27" s="26" t="e">
        <f t="shared" si="48"/>
        <v>#N/A</v>
      </c>
      <c r="BK27" s="26" t="e">
        <f t="shared" si="49"/>
        <v>#N/A</v>
      </c>
      <c r="BL27" s="26" t="e">
        <f t="shared" si="50"/>
        <v>#N/A</v>
      </c>
      <c r="BM27" s="25">
        <v>214</v>
      </c>
      <c r="BN27" s="11" t="e">
        <f t="shared" si="51"/>
        <v>#N/A</v>
      </c>
      <c r="BO27" s="11" t="e">
        <f t="shared" si="52"/>
        <v>#N/A</v>
      </c>
      <c r="BP27" s="11" t="e">
        <f t="shared" si="53"/>
        <v>#N/A</v>
      </c>
      <c r="BQ27" s="15" t="e">
        <f t="shared" si="54"/>
        <v>#N/A</v>
      </c>
      <c r="BR27" s="26" t="e">
        <f t="shared" si="55"/>
        <v>#N/A</v>
      </c>
      <c r="BS27" s="26" t="e">
        <f t="shared" si="56"/>
        <v>#N/A</v>
      </c>
      <c r="BT27" s="26" t="e">
        <f t="shared" si="57"/>
        <v>#N/A</v>
      </c>
      <c r="BU27" s="15" t="e">
        <f t="shared" si="58"/>
        <v>#N/A</v>
      </c>
      <c r="BV27" s="26" t="e">
        <f t="shared" si="59"/>
        <v>#N/A</v>
      </c>
      <c r="BW27" s="26" t="e">
        <f t="shared" si="60"/>
        <v>#N/A</v>
      </c>
      <c r="BX27" s="26" t="e">
        <f t="shared" si="61"/>
        <v>#N/A</v>
      </c>
      <c r="BY27" s="15" t="e">
        <f t="shared" si="62"/>
        <v>#N/A</v>
      </c>
      <c r="BZ27" s="26" t="e">
        <f t="shared" si="63"/>
        <v>#N/A</v>
      </c>
      <c r="CA27" s="26" t="e">
        <f t="shared" si="64"/>
        <v>#N/A</v>
      </c>
      <c r="CB27" s="26" t="e">
        <f t="shared" si="65"/>
        <v>#N/A</v>
      </c>
      <c r="CC27" s="25">
        <v>214</v>
      </c>
      <c r="CD27" s="11" t="e">
        <f t="shared" si="66"/>
        <v>#N/A</v>
      </c>
      <c r="CE27" s="11" t="e">
        <f t="shared" si="67"/>
        <v>#N/A</v>
      </c>
      <c r="CF27" s="11" t="e">
        <f t="shared" si="68"/>
        <v>#N/A</v>
      </c>
      <c r="CG27" s="15" t="e">
        <f t="shared" si="69"/>
        <v>#N/A</v>
      </c>
      <c r="CH27" s="26" t="e">
        <f t="shared" si="70"/>
        <v>#N/A</v>
      </c>
      <c r="CI27" s="26" t="e">
        <f t="shared" si="71"/>
        <v>#N/A</v>
      </c>
      <c r="CJ27" s="26" t="e">
        <f t="shared" si="72"/>
        <v>#N/A</v>
      </c>
      <c r="CK27" s="15" t="e">
        <f t="shared" si="73"/>
        <v>#N/A</v>
      </c>
      <c r="CL27" s="26" t="e">
        <f t="shared" si="74"/>
        <v>#N/A</v>
      </c>
      <c r="CM27" s="26" t="e">
        <f t="shared" si="75"/>
        <v>#N/A</v>
      </c>
      <c r="CN27" s="26" t="e">
        <f t="shared" si="76"/>
        <v>#N/A</v>
      </c>
      <c r="CO27" s="15" t="e">
        <f t="shared" si="77"/>
        <v>#N/A</v>
      </c>
      <c r="CP27" s="26" t="e">
        <f t="shared" si="78"/>
        <v>#N/A</v>
      </c>
      <c r="CQ27" s="26" t="e">
        <f t="shared" si="79"/>
        <v>#N/A</v>
      </c>
      <c r="CR27" s="26" t="e">
        <f t="shared" si="80"/>
        <v>#N/A</v>
      </c>
    </row>
    <row r="28" spans="1:96" s="6" customFormat="1" ht="18.75" x14ac:dyDescent="0.25">
      <c r="A28" s="25">
        <v>215</v>
      </c>
      <c r="B28" s="11" t="e">
        <f t="shared" si="0"/>
        <v>#N/A</v>
      </c>
      <c r="C28" s="11" t="e">
        <f t="shared" si="1"/>
        <v>#N/A</v>
      </c>
      <c r="D28" s="11" t="e">
        <f t="shared" si="2"/>
        <v>#N/A</v>
      </c>
      <c r="E28" s="15" t="e">
        <f t="shared" si="3"/>
        <v>#N/A</v>
      </c>
      <c r="F28" s="26"/>
      <c r="G28" s="26" t="e">
        <f t="shared" si="4"/>
        <v>#N/A</v>
      </c>
      <c r="H28" s="26" t="e">
        <f t="shared" si="5"/>
        <v>#N/A</v>
      </c>
      <c r="I28" s="69"/>
      <c r="J28" s="70"/>
      <c r="K28" s="70"/>
      <c r="L28" s="70"/>
      <c r="M28" s="71"/>
      <c r="N28" s="70"/>
      <c r="O28" s="70"/>
      <c r="P28" s="70"/>
      <c r="Q28" s="25">
        <v>215</v>
      </c>
      <c r="R28" s="11" t="e">
        <f t="shared" si="6"/>
        <v>#N/A</v>
      </c>
      <c r="S28" s="11" t="e">
        <f t="shared" si="7"/>
        <v>#N/A</v>
      </c>
      <c r="T28" s="11" t="e">
        <f t="shared" si="8"/>
        <v>#N/A</v>
      </c>
      <c r="U28" s="15" t="e">
        <f t="shared" si="9"/>
        <v>#N/A</v>
      </c>
      <c r="V28" s="26" t="e">
        <f t="shared" si="10"/>
        <v>#N/A</v>
      </c>
      <c r="W28" s="26" t="e">
        <f t="shared" si="11"/>
        <v>#N/A</v>
      </c>
      <c r="X28" s="26" t="e">
        <f t="shared" si="12"/>
        <v>#N/A</v>
      </c>
      <c r="Y28" s="15" t="e">
        <f t="shared" si="13"/>
        <v>#N/A</v>
      </c>
      <c r="Z28" s="26" t="e">
        <f t="shared" si="14"/>
        <v>#N/A</v>
      </c>
      <c r="AA28" s="26" t="e">
        <f t="shared" si="15"/>
        <v>#N/A</v>
      </c>
      <c r="AB28" s="26" t="e">
        <f t="shared" si="16"/>
        <v>#N/A</v>
      </c>
      <c r="AC28" s="15" t="e">
        <f t="shared" si="17"/>
        <v>#N/A</v>
      </c>
      <c r="AD28" s="26" t="e">
        <f t="shared" si="18"/>
        <v>#N/A</v>
      </c>
      <c r="AE28" s="26" t="e">
        <f t="shared" si="19"/>
        <v>#N/A</v>
      </c>
      <c r="AF28" s="26" t="e">
        <f t="shared" si="20"/>
        <v>#N/A</v>
      </c>
      <c r="AG28" s="25">
        <v>215</v>
      </c>
      <c r="AH28" s="11" t="e">
        <f t="shared" si="21"/>
        <v>#N/A</v>
      </c>
      <c r="AI28" s="11" t="e">
        <f t="shared" si="22"/>
        <v>#N/A</v>
      </c>
      <c r="AJ28" s="11" t="e">
        <f t="shared" si="23"/>
        <v>#N/A</v>
      </c>
      <c r="AK28" s="15" t="e">
        <f t="shared" si="24"/>
        <v>#N/A</v>
      </c>
      <c r="AL28" s="26" t="e">
        <f t="shared" si="25"/>
        <v>#N/A</v>
      </c>
      <c r="AM28" s="26" t="e">
        <f t="shared" si="26"/>
        <v>#N/A</v>
      </c>
      <c r="AN28" s="26" t="e">
        <f t="shared" si="27"/>
        <v>#N/A</v>
      </c>
      <c r="AO28" s="15" t="e">
        <f t="shared" si="28"/>
        <v>#N/A</v>
      </c>
      <c r="AP28" s="26" t="e">
        <f t="shared" si="29"/>
        <v>#N/A</v>
      </c>
      <c r="AQ28" s="26" t="e">
        <f t="shared" si="30"/>
        <v>#N/A</v>
      </c>
      <c r="AR28" s="26" t="e">
        <f t="shared" si="31"/>
        <v>#N/A</v>
      </c>
      <c r="AS28" s="15" t="e">
        <f t="shared" si="32"/>
        <v>#N/A</v>
      </c>
      <c r="AT28" s="26" t="e">
        <f t="shared" si="33"/>
        <v>#N/A</v>
      </c>
      <c r="AU28" s="26" t="e">
        <f t="shared" si="34"/>
        <v>#N/A</v>
      </c>
      <c r="AV28" s="26" t="e">
        <f t="shared" si="35"/>
        <v>#N/A</v>
      </c>
      <c r="AW28" s="25">
        <v>215</v>
      </c>
      <c r="AX28" s="11" t="e">
        <f t="shared" si="36"/>
        <v>#N/A</v>
      </c>
      <c r="AY28" s="11" t="e">
        <f t="shared" si="37"/>
        <v>#N/A</v>
      </c>
      <c r="AZ28" s="11" t="e">
        <f t="shared" si="38"/>
        <v>#N/A</v>
      </c>
      <c r="BA28" s="15" t="e">
        <f t="shared" si="39"/>
        <v>#N/A</v>
      </c>
      <c r="BB28" s="26" t="e">
        <f t="shared" si="40"/>
        <v>#N/A</v>
      </c>
      <c r="BC28" s="26" t="e">
        <f t="shared" si="41"/>
        <v>#N/A</v>
      </c>
      <c r="BD28" s="26" t="e">
        <f t="shared" si="42"/>
        <v>#N/A</v>
      </c>
      <c r="BE28" s="15" t="e">
        <f t="shared" si="43"/>
        <v>#N/A</v>
      </c>
      <c r="BF28" s="26" t="e">
        <f t="shared" si="44"/>
        <v>#N/A</v>
      </c>
      <c r="BG28" s="26" t="e">
        <f t="shared" si="45"/>
        <v>#N/A</v>
      </c>
      <c r="BH28" s="26" t="e">
        <f t="shared" si="46"/>
        <v>#N/A</v>
      </c>
      <c r="BI28" s="15" t="e">
        <f t="shared" si="47"/>
        <v>#N/A</v>
      </c>
      <c r="BJ28" s="26" t="e">
        <f t="shared" si="48"/>
        <v>#N/A</v>
      </c>
      <c r="BK28" s="26" t="e">
        <f t="shared" si="49"/>
        <v>#N/A</v>
      </c>
      <c r="BL28" s="26" t="e">
        <f t="shared" si="50"/>
        <v>#N/A</v>
      </c>
      <c r="BM28" s="25">
        <v>215</v>
      </c>
      <c r="BN28" s="11" t="e">
        <f t="shared" si="51"/>
        <v>#N/A</v>
      </c>
      <c r="BO28" s="11" t="e">
        <f t="shared" si="52"/>
        <v>#N/A</v>
      </c>
      <c r="BP28" s="11" t="e">
        <f t="shared" si="53"/>
        <v>#N/A</v>
      </c>
      <c r="BQ28" s="15" t="e">
        <f t="shared" si="54"/>
        <v>#N/A</v>
      </c>
      <c r="BR28" s="26" t="e">
        <f t="shared" si="55"/>
        <v>#N/A</v>
      </c>
      <c r="BS28" s="26" t="e">
        <f t="shared" si="56"/>
        <v>#N/A</v>
      </c>
      <c r="BT28" s="26" t="e">
        <f t="shared" si="57"/>
        <v>#N/A</v>
      </c>
      <c r="BU28" s="15" t="e">
        <f t="shared" si="58"/>
        <v>#N/A</v>
      </c>
      <c r="BV28" s="26" t="e">
        <f t="shared" si="59"/>
        <v>#N/A</v>
      </c>
      <c r="BW28" s="26" t="e">
        <f t="shared" si="60"/>
        <v>#N/A</v>
      </c>
      <c r="BX28" s="26" t="e">
        <f t="shared" si="61"/>
        <v>#N/A</v>
      </c>
      <c r="BY28" s="15" t="e">
        <f t="shared" si="62"/>
        <v>#N/A</v>
      </c>
      <c r="BZ28" s="26" t="e">
        <f t="shared" si="63"/>
        <v>#N/A</v>
      </c>
      <c r="CA28" s="26" t="e">
        <f t="shared" si="64"/>
        <v>#N/A</v>
      </c>
      <c r="CB28" s="26" t="e">
        <f t="shared" si="65"/>
        <v>#N/A</v>
      </c>
      <c r="CC28" s="25">
        <v>215</v>
      </c>
      <c r="CD28" s="11" t="e">
        <f t="shared" si="66"/>
        <v>#N/A</v>
      </c>
      <c r="CE28" s="11" t="e">
        <f t="shared" si="67"/>
        <v>#N/A</v>
      </c>
      <c r="CF28" s="11" t="e">
        <f t="shared" si="68"/>
        <v>#N/A</v>
      </c>
      <c r="CG28" s="15" t="e">
        <f t="shared" si="69"/>
        <v>#N/A</v>
      </c>
      <c r="CH28" s="26" t="e">
        <f t="shared" si="70"/>
        <v>#N/A</v>
      </c>
      <c r="CI28" s="26" t="e">
        <f t="shared" si="71"/>
        <v>#N/A</v>
      </c>
      <c r="CJ28" s="26" t="e">
        <f t="shared" si="72"/>
        <v>#N/A</v>
      </c>
      <c r="CK28" s="15" t="e">
        <f t="shared" si="73"/>
        <v>#N/A</v>
      </c>
      <c r="CL28" s="26" t="e">
        <f t="shared" si="74"/>
        <v>#N/A</v>
      </c>
      <c r="CM28" s="26" t="e">
        <f t="shared" si="75"/>
        <v>#N/A</v>
      </c>
      <c r="CN28" s="26" t="e">
        <f t="shared" si="76"/>
        <v>#N/A</v>
      </c>
      <c r="CO28" s="15" t="e">
        <f t="shared" si="77"/>
        <v>#N/A</v>
      </c>
      <c r="CP28" s="26" t="e">
        <f t="shared" si="78"/>
        <v>#N/A</v>
      </c>
      <c r="CQ28" s="26" t="e">
        <f t="shared" si="79"/>
        <v>#N/A</v>
      </c>
      <c r="CR28" s="26" t="e">
        <f t="shared" si="80"/>
        <v>#N/A</v>
      </c>
    </row>
    <row r="29" spans="1:96" s="36" customFormat="1" x14ac:dyDescent="0.25">
      <c r="A29" s="32"/>
      <c r="B29" s="33"/>
      <c r="C29" s="33"/>
      <c r="D29" s="33"/>
      <c r="E29" s="34"/>
      <c r="F29" s="35"/>
      <c r="G29" s="35"/>
      <c r="H29" s="35"/>
      <c r="I29" s="34"/>
      <c r="J29" s="35"/>
      <c r="K29" s="35"/>
      <c r="L29" s="35"/>
      <c r="M29" s="34"/>
      <c r="N29" s="35"/>
      <c r="O29" s="35"/>
      <c r="P29" s="35"/>
      <c r="Q29" s="32"/>
      <c r="R29" s="33"/>
      <c r="S29" s="33"/>
      <c r="T29" s="33"/>
      <c r="U29" s="34"/>
      <c r="V29" s="35"/>
      <c r="W29" s="35"/>
      <c r="X29" s="35"/>
      <c r="Y29" s="34"/>
      <c r="Z29" s="35"/>
      <c r="AA29" s="35"/>
      <c r="AB29" s="35"/>
      <c r="AC29" s="34"/>
      <c r="AD29" s="35"/>
      <c r="AE29" s="35"/>
      <c r="AF29" s="35"/>
      <c r="AG29" s="32"/>
      <c r="AH29" s="33"/>
      <c r="AI29" s="33"/>
      <c r="AJ29" s="33"/>
      <c r="AK29" s="34"/>
      <c r="AL29" s="35"/>
      <c r="AM29" s="35"/>
      <c r="AN29" s="35"/>
      <c r="AO29" s="34"/>
      <c r="AP29" s="35"/>
      <c r="AQ29" s="35"/>
      <c r="AR29" s="35"/>
      <c r="AS29" s="34"/>
      <c r="AT29" s="35"/>
      <c r="AU29" s="35"/>
      <c r="AV29" s="35"/>
      <c r="AW29" s="32"/>
      <c r="AX29" s="33"/>
      <c r="AY29" s="33"/>
      <c r="AZ29" s="33"/>
      <c r="BA29" s="34"/>
      <c r="BB29" s="35"/>
      <c r="BC29" s="35"/>
      <c r="BD29" s="35"/>
      <c r="BE29" s="34"/>
      <c r="BF29" s="35"/>
      <c r="BG29" s="35"/>
      <c r="BH29" s="35"/>
      <c r="BI29" s="34"/>
      <c r="BJ29" s="35"/>
      <c r="BK29" s="35"/>
      <c r="BL29" s="35"/>
      <c r="BM29" s="32"/>
      <c r="BN29" s="33"/>
      <c r="BO29" s="33"/>
      <c r="BP29" s="33"/>
      <c r="BQ29" s="34"/>
      <c r="BR29" s="35"/>
      <c r="BS29" s="35"/>
      <c r="BT29" s="35"/>
      <c r="BU29" s="34"/>
      <c r="BV29" s="35"/>
      <c r="BW29" s="35"/>
      <c r="BX29" s="35"/>
      <c r="BY29" s="34"/>
      <c r="BZ29" s="35"/>
      <c r="CA29" s="35"/>
      <c r="CB29" s="35"/>
      <c r="CC29" s="32"/>
      <c r="CD29" s="33"/>
      <c r="CE29" s="33"/>
      <c r="CF29" s="33"/>
      <c r="CG29" s="34"/>
      <c r="CH29" s="35"/>
      <c r="CI29" s="35"/>
      <c r="CJ29" s="35"/>
      <c r="CK29" s="34"/>
      <c r="CL29" s="35"/>
      <c r="CM29" s="35"/>
      <c r="CN29" s="35"/>
      <c r="CO29" s="34"/>
      <c r="CP29" s="35"/>
      <c r="CQ29" s="35"/>
      <c r="CR29" s="35"/>
    </row>
    <row r="30" spans="1:96" s="36" customFormat="1" x14ac:dyDescent="0.25">
      <c r="A30" s="63"/>
      <c r="B30" s="33" t="s">
        <v>157</v>
      </c>
      <c r="C30" s="33"/>
      <c r="D30" s="33"/>
      <c r="E30" s="34"/>
      <c r="F30" s="35"/>
      <c r="G30" s="35"/>
      <c r="H30" s="35"/>
      <c r="I30" s="34"/>
      <c r="J30" s="35"/>
      <c r="K30" s="37" t="s">
        <v>158</v>
      </c>
      <c r="L30" s="35"/>
      <c r="M30" s="34"/>
      <c r="N30" s="35"/>
      <c r="O30" s="35"/>
      <c r="P30" s="35"/>
      <c r="Q30" s="32"/>
      <c r="R30" s="33" t="s">
        <v>157</v>
      </c>
      <c r="S30" s="33"/>
      <c r="T30" s="33"/>
      <c r="U30" s="34"/>
      <c r="V30" s="35"/>
      <c r="W30" s="35"/>
      <c r="X30" s="35"/>
      <c r="Y30" s="34"/>
      <c r="Z30" s="35"/>
      <c r="AA30" s="37" t="s">
        <v>158</v>
      </c>
      <c r="AB30" s="35"/>
      <c r="AC30" s="34"/>
      <c r="AD30" s="35"/>
      <c r="AE30" s="35"/>
      <c r="AF30" s="35"/>
      <c r="AG30" s="32"/>
      <c r="AH30" s="33" t="s">
        <v>157</v>
      </c>
      <c r="AI30" s="33"/>
      <c r="AJ30" s="33"/>
      <c r="AK30" s="34"/>
      <c r="AL30" s="35"/>
      <c r="AM30" s="35"/>
      <c r="AN30" s="35"/>
      <c r="AO30" s="34"/>
      <c r="AP30" s="35"/>
      <c r="AQ30" s="37" t="s">
        <v>158</v>
      </c>
      <c r="AR30" s="35"/>
      <c r="AS30" s="34"/>
      <c r="AT30" s="35"/>
      <c r="AU30" s="35"/>
      <c r="AV30" s="35"/>
      <c r="AW30" s="32"/>
      <c r="AX30" s="33" t="s">
        <v>157</v>
      </c>
      <c r="AY30" s="33"/>
      <c r="AZ30" s="33"/>
      <c r="BA30" s="34"/>
      <c r="BB30" s="35"/>
      <c r="BC30" s="35"/>
      <c r="BD30" s="35"/>
      <c r="BE30" s="34"/>
      <c r="BF30" s="35"/>
      <c r="BG30" s="37" t="s">
        <v>158</v>
      </c>
      <c r="BH30" s="35"/>
      <c r="BI30" s="34"/>
      <c r="BJ30" s="35"/>
      <c r="BK30" s="35"/>
      <c r="BL30" s="35"/>
      <c r="BM30" s="32"/>
      <c r="BN30" s="33" t="s">
        <v>157</v>
      </c>
      <c r="BO30" s="33"/>
      <c r="BP30" s="33"/>
      <c r="BQ30" s="34"/>
      <c r="BR30" s="35"/>
      <c r="BS30" s="35"/>
      <c r="BT30" s="35"/>
      <c r="BU30" s="34"/>
      <c r="BV30" s="35"/>
      <c r="BW30" s="37" t="s">
        <v>158</v>
      </c>
      <c r="BX30" s="35"/>
      <c r="BY30" s="34"/>
      <c r="BZ30" s="35"/>
      <c r="CA30" s="35"/>
      <c r="CB30" s="35"/>
      <c r="CC30" s="32"/>
      <c r="CD30" s="33" t="s">
        <v>157</v>
      </c>
      <c r="CE30" s="33"/>
      <c r="CF30" s="33"/>
      <c r="CG30" s="34"/>
      <c r="CH30" s="35"/>
      <c r="CI30" s="35"/>
      <c r="CJ30" s="35"/>
      <c r="CK30" s="34"/>
      <c r="CL30" s="35"/>
      <c r="CM30" s="37" t="s">
        <v>158</v>
      </c>
      <c r="CN30" s="35"/>
      <c r="CO30" s="34"/>
      <c r="CP30" s="35"/>
      <c r="CQ30" s="35"/>
      <c r="CR30" s="35"/>
    </row>
    <row r="31" spans="1:96" s="36" customFormat="1" x14ac:dyDescent="0.25">
      <c r="A31" s="63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32"/>
      <c r="AX31" s="33"/>
      <c r="AY31" s="33"/>
      <c r="AZ31" s="33"/>
      <c r="BA31" s="34"/>
      <c r="BB31" s="35"/>
      <c r="BC31" s="35"/>
      <c r="BD31" s="35"/>
      <c r="BE31" s="34"/>
      <c r="BF31" s="35"/>
      <c r="BG31" s="35"/>
      <c r="BH31" s="35"/>
      <c r="BI31" s="34"/>
      <c r="BJ31" s="35"/>
      <c r="BK31" s="35"/>
      <c r="BL31" s="35"/>
      <c r="BM31" s="32"/>
      <c r="BN31" s="33"/>
      <c r="BO31" s="33"/>
      <c r="BP31" s="33"/>
      <c r="BQ31" s="34"/>
      <c r="BR31" s="35"/>
      <c r="BS31" s="35"/>
      <c r="BT31" s="35"/>
      <c r="BU31" s="34"/>
      <c r="BV31" s="35"/>
      <c r="BW31" s="35"/>
      <c r="BX31" s="35"/>
      <c r="BY31" s="34"/>
      <c r="BZ31" s="35"/>
      <c r="CA31" s="35"/>
      <c r="CB31" s="35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</row>
    <row r="32" spans="1:96" s="29" customFormat="1" ht="15" customHeight="1" x14ac:dyDescent="0.25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</row>
    <row r="33" spans="1:96" s="29" customFormat="1" x14ac:dyDescent="0.25">
      <c r="A33" s="63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</row>
    <row r="34" spans="1:96" s="6" customFormat="1" x14ac:dyDescent="0.25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</row>
    <row r="35" spans="1:96" s="6" customFormat="1" x14ac:dyDescent="0.25">
      <c r="A35" s="63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</row>
    <row r="36" spans="1:96" s="6" customFormat="1" x14ac:dyDescent="0.25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</row>
    <row r="37" spans="1:96" s="6" customFormat="1" x14ac:dyDescent="0.25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</row>
    <row r="38" spans="1:96" s="6" customFormat="1" x14ac:dyDescent="0.25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</row>
    <row r="39" spans="1:96" s="6" customFormat="1" x14ac:dyDescent="0.25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</row>
    <row r="40" spans="1:96" s="6" customForma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</row>
    <row r="41" spans="1:96" s="6" customFormat="1" x14ac:dyDescent="0.25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</row>
    <row r="42" spans="1:96" s="6" customFormat="1" x14ac:dyDescent="0.25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</row>
    <row r="43" spans="1:96" s="6" customFormat="1" x14ac:dyDescent="0.25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</row>
    <row r="44" spans="1:96" s="6" customFormat="1" x14ac:dyDescent="0.25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</row>
    <row r="45" spans="1:96" s="6" customFormat="1" x14ac:dyDescent="0.25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</row>
    <row r="46" spans="1:96" s="6" customFormat="1" x14ac:dyDescent="0.25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</row>
    <row r="47" spans="1:96" s="6" customFormat="1" x14ac:dyDescent="0.25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</row>
    <row r="48" spans="1:96" s="6" customFormat="1" x14ac:dyDescent="0.25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</row>
    <row r="49" spans="1:96" s="36" customFormat="1" ht="10.5" customHeight="1" x14ac:dyDescent="0.25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</row>
    <row r="50" spans="1:96" s="36" customFormat="1" x14ac:dyDescent="0.25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</row>
    <row r="51" spans="1:96" s="36" customFormat="1" x14ac:dyDescent="0.25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</row>
    <row r="52" spans="1:96" s="29" customFormat="1" ht="15" customHeight="1" x14ac:dyDescent="0.25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</row>
    <row r="53" spans="1:96" s="29" customFormat="1" x14ac:dyDescent="0.25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</row>
    <row r="54" spans="1:96" s="6" customFormat="1" x14ac:dyDescent="0.25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</row>
    <row r="55" spans="1:96" s="6" customFormat="1" x14ac:dyDescent="0.25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</row>
    <row r="56" spans="1:96" s="6" customFormat="1" x14ac:dyDescent="0.25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</row>
    <row r="57" spans="1:96" s="6" customFormat="1" x14ac:dyDescent="0.25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</row>
    <row r="58" spans="1:96" s="6" customFormat="1" x14ac:dyDescent="0.25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</row>
    <row r="59" spans="1:96" s="6" customFormat="1" x14ac:dyDescent="0.25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</row>
    <row r="60" spans="1:96" s="6" customFormat="1" x14ac:dyDescent="0.25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</row>
    <row r="61" spans="1:96" s="6" customFormat="1" x14ac:dyDescent="0.25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</row>
    <row r="62" spans="1:96" s="6" customFormat="1" x14ac:dyDescent="0.25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</row>
    <row r="63" spans="1:96" s="6" customFormat="1" x14ac:dyDescent="0.25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</row>
    <row r="64" spans="1:96" s="6" customFormat="1" x14ac:dyDescent="0.25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</row>
    <row r="65" spans="1:96" s="6" customFormat="1" x14ac:dyDescent="0.25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</row>
    <row r="66" spans="1:96" s="6" customFormat="1" x14ac:dyDescent="0.25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</row>
    <row r="67" spans="1:96" s="6" customFormat="1" x14ac:dyDescent="0.25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</row>
    <row r="68" spans="1:96" s="6" customFormat="1" x14ac:dyDescent="0.25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</row>
    <row r="69" spans="1:96" s="36" customFormat="1" ht="10.5" customHeight="1" x14ac:dyDescent="0.25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</row>
    <row r="70" spans="1:96" s="36" customFormat="1" x14ac:dyDescent="0.25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</row>
    <row r="71" spans="1:96" s="36" customFormat="1" x14ac:dyDescent="0.25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</row>
    <row r="72" spans="1:96" s="29" customFormat="1" ht="15" customHeight="1" x14ac:dyDescent="0.25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</row>
    <row r="73" spans="1:96" s="29" customFormat="1" x14ac:dyDescent="0.25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</row>
    <row r="74" spans="1:96" s="6" customFormat="1" x14ac:dyDescent="0.25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</row>
    <row r="75" spans="1:96" s="6" customFormat="1" x14ac:dyDescent="0.25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</row>
    <row r="76" spans="1:96" s="6" customFormat="1" x14ac:dyDescent="0.25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</row>
    <row r="77" spans="1:96" s="6" customFormat="1" x14ac:dyDescent="0.25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</row>
    <row r="78" spans="1:96" s="6" customFormat="1" x14ac:dyDescent="0.25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</row>
    <row r="79" spans="1:96" s="6" customFormat="1" x14ac:dyDescent="0.25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</row>
    <row r="80" spans="1:96" s="6" customFormat="1" x14ac:dyDescent="0.25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</row>
    <row r="81" spans="1:96" s="6" customFormat="1" x14ac:dyDescent="0.25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</row>
    <row r="82" spans="1:96" s="6" customFormat="1" x14ac:dyDescent="0.25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</row>
    <row r="83" spans="1:96" s="6" customFormat="1" x14ac:dyDescent="0.25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</row>
    <row r="84" spans="1:96" s="6" customFormat="1" x14ac:dyDescent="0.25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</row>
    <row r="85" spans="1:96" s="6" customFormat="1" x14ac:dyDescent="0.25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</row>
    <row r="86" spans="1:96" s="6" customFormat="1" x14ac:dyDescent="0.25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</row>
    <row r="87" spans="1:96" s="6" customFormat="1" x14ac:dyDescent="0.25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</row>
    <row r="88" spans="1:96" s="6" customFormat="1" x14ac:dyDescent="0.25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</row>
    <row r="89" spans="1:96" s="36" customFormat="1" ht="8.25" customHeight="1" x14ac:dyDescent="0.25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</row>
    <row r="90" spans="1:96" s="36" customFormat="1" x14ac:dyDescent="0.25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63"/>
      <c r="BX90" s="63"/>
      <c r="BY90" s="63"/>
      <c r="BZ90" s="63"/>
      <c r="CA90" s="63"/>
      <c r="CB90" s="63"/>
      <c r="CC90" s="63"/>
      <c r="CD90" s="63"/>
      <c r="CE90" s="63"/>
      <c r="CF90" s="63"/>
      <c r="CG90" s="63"/>
      <c r="CH90" s="63"/>
      <c r="CI90" s="63"/>
      <c r="CJ90" s="63"/>
      <c r="CK90" s="63"/>
      <c r="CL90" s="63"/>
      <c r="CM90" s="63"/>
      <c r="CN90" s="63"/>
      <c r="CO90" s="63"/>
      <c r="CP90" s="63"/>
      <c r="CQ90" s="63"/>
      <c r="CR90" s="63"/>
    </row>
    <row r="91" spans="1:96" s="36" customFormat="1" x14ac:dyDescent="0.25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</row>
    <row r="92" spans="1:96" s="29" customFormat="1" ht="15" customHeight="1" x14ac:dyDescent="0.25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63"/>
      <c r="CF92" s="63"/>
      <c r="CG92" s="63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</row>
    <row r="93" spans="1:96" s="29" customFormat="1" x14ac:dyDescent="0.25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63"/>
      <c r="CF93" s="63"/>
      <c r="CG93" s="63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</row>
    <row r="94" spans="1:96" s="6" customFormat="1" x14ac:dyDescent="0.25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63"/>
      <c r="BR94" s="63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63"/>
      <c r="CE94" s="63"/>
      <c r="CF94" s="63"/>
      <c r="CG94" s="63"/>
      <c r="CH94" s="63"/>
      <c r="CI94" s="63"/>
      <c r="CJ94" s="63"/>
      <c r="CK94" s="63"/>
      <c r="CL94" s="63"/>
      <c r="CM94" s="63"/>
      <c r="CN94" s="63"/>
      <c r="CO94" s="63"/>
      <c r="CP94" s="63"/>
      <c r="CQ94" s="63"/>
      <c r="CR94" s="63"/>
    </row>
    <row r="95" spans="1:96" s="6" customFormat="1" x14ac:dyDescent="0.2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  <c r="CA95" s="63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</row>
    <row r="96" spans="1:96" s="6" customFormat="1" x14ac:dyDescent="0.25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  <c r="BW96" s="63"/>
      <c r="BX96" s="63"/>
      <c r="BY96" s="63"/>
      <c r="BZ96" s="63"/>
      <c r="CA96" s="63"/>
      <c r="CB96" s="63"/>
      <c r="CC96" s="63"/>
      <c r="CD96" s="63"/>
      <c r="CE96" s="63"/>
      <c r="CF96" s="63"/>
      <c r="CG96" s="63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</row>
    <row r="97" spans="1:96" s="6" customFormat="1" x14ac:dyDescent="0.25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</row>
    <row r="98" spans="1:96" s="6" customFormat="1" x14ac:dyDescent="0.25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</row>
    <row r="99" spans="1:96" s="6" customFormat="1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BY99" s="63"/>
      <c r="BZ99" s="63"/>
      <c r="CA99" s="63"/>
      <c r="CB99" s="63"/>
      <c r="CC99" s="63"/>
      <c r="CD99" s="63"/>
      <c r="CE99" s="63"/>
      <c r="CF99" s="63"/>
      <c r="CG99" s="63"/>
      <c r="CH99" s="63"/>
      <c r="CI99" s="63"/>
      <c r="CJ99" s="63"/>
      <c r="CK99" s="63"/>
      <c r="CL99" s="63"/>
      <c r="CM99" s="63"/>
      <c r="CN99" s="63"/>
      <c r="CO99" s="63"/>
      <c r="CP99" s="63"/>
      <c r="CQ99" s="63"/>
      <c r="CR99" s="63"/>
    </row>
    <row r="100" spans="1:96" s="6" customFormat="1" x14ac:dyDescent="0.25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63"/>
      <c r="BO100" s="63"/>
      <c r="BP100" s="63"/>
      <c r="BQ100" s="63"/>
      <c r="BR100" s="63"/>
      <c r="BS100" s="63"/>
      <c r="BT100" s="63"/>
      <c r="BU100" s="63"/>
      <c r="BV100" s="63"/>
      <c r="BW100" s="63"/>
      <c r="BX100" s="63"/>
      <c r="BY100" s="63"/>
      <c r="BZ100" s="63"/>
      <c r="CA100" s="63"/>
      <c r="CB100" s="63"/>
      <c r="CC100" s="63"/>
      <c r="CD100" s="63"/>
      <c r="CE100" s="63"/>
      <c r="CF100" s="63"/>
      <c r="CG100" s="63"/>
      <c r="CH100" s="63"/>
      <c r="CI100" s="63"/>
      <c r="CJ100" s="63"/>
      <c r="CK100" s="63"/>
      <c r="CL100" s="63"/>
      <c r="CM100" s="63"/>
      <c r="CN100" s="63"/>
      <c r="CO100" s="63"/>
      <c r="CP100" s="63"/>
      <c r="CQ100" s="63"/>
      <c r="CR100" s="63"/>
    </row>
    <row r="101" spans="1:96" s="6" customFormat="1" x14ac:dyDescent="0.25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63"/>
      <c r="BO101" s="63"/>
      <c r="BP101" s="63"/>
      <c r="BQ101" s="63"/>
      <c r="BR101" s="63"/>
      <c r="BS101" s="63"/>
      <c r="BT101" s="63"/>
      <c r="BU101" s="63"/>
      <c r="BV101" s="63"/>
      <c r="BW101" s="63"/>
      <c r="BX101" s="63"/>
      <c r="BY101" s="63"/>
      <c r="BZ101" s="63"/>
      <c r="CA101" s="63"/>
      <c r="CB101" s="63"/>
      <c r="CC101" s="63"/>
      <c r="CD101" s="63"/>
      <c r="CE101" s="63"/>
      <c r="CF101" s="63"/>
      <c r="CG101" s="63"/>
      <c r="CH101" s="63"/>
      <c r="CI101" s="63"/>
      <c r="CJ101" s="63"/>
      <c r="CK101" s="63"/>
      <c r="CL101" s="63"/>
      <c r="CM101" s="63"/>
      <c r="CN101" s="63"/>
      <c r="CO101" s="63"/>
      <c r="CP101" s="63"/>
      <c r="CQ101" s="63"/>
      <c r="CR101" s="63"/>
    </row>
    <row r="102" spans="1:96" s="6" customFormat="1" x14ac:dyDescent="0.25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  <c r="CA102" s="63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</row>
    <row r="103" spans="1:96" s="6" customFormat="1" x14ac:dyDescent="0.25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  <c r="BN103" s="63"/>
      <c r="BO103" s="63"/>
      <c r="BP103" s="63"/>
      <c r="BQ103" s="63"/>
      <c r="BR103" s="63"/>
      <c r="BS103" s="63"/>
      <c r="BT103" s="63"/>
      <c r="BU103" s="63"/>
      <c r="BV103" s="63"/>
      <c r="BW103" s="63"/>
      <c r="BX103" s="63"/>
      <c r="BY103" s="63"/>
      <c r="BZ103" s="63"/>
      <c r="CA103" s="63"/>
      <c r="CB103" s="63"/>
      <c r="CC103" s="63"/>
      <c r="CD103" s="63"/>
      <c r="CE103" s="63"/>
      <c r="CF103" s="63"/>
      <c r="CG103" s="63"/>
      <c r="CH103" s="63"/>
      <c r="CI103" s="63"/>
      <c r="CJ103" s="63"/>
      <c r="CK103" s="63"/>
      <c r="CL103" s="63"/>
      <c r="CM103" s="63"/>
      <c r="CN103" s="63"/>
      <c r="CO103" s="63"/>
      <c r="CP103" s="63"/>
      <c r="CQ103" s="63"/>
      <c r="CR103" s="63"/>
    </row>
    <row r="104" spans="1:96" s="6" customFormat="1" x14ac:dyDescent="0.25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63"/>
      <c r="BN104" s="63"/>
      <c r="BO104" s="63"/>
      <c r="BP104" s="63"/>
      <c r="BQ104" s="63"/>
      <c r="BR104" s="63"/>
      <c r="BS104" s="63"/>
      <c r="BT104" s="63"/>
      <c r="BU104" s="63"/>
      <c r="BV104" s="63"/>
      <c r="BW104" s="63"/>
      <c r="BX104" s="63"/>
      <c r="BY104" s="63"/>
      <c r="BZ104" s="63"/>
      <c r="CA104" s="63"/>
      <c r="CB104" s="63"/>
      <c r="CC104" s="63"/>
      <c r="CD104" s="63"/>
      <c r="CE104" s="63"/>
      <c r="CF104" s="63"/>
      <c r="CG104" s="63"/>
      <c r="CH104" s="63"/>
      <c r="CI104" s="63"/>
      <c r="CJ104" s="63"/>
      <c r="CK104" s="63"/>
      <c r="CL104" s="63"/>
      <c r="CM104" s="63"/>
      <c r="CN104" s="63"/>
      <c r="CO104" s="63"/>
      <c r="CP104" s="63"/>
      <c r="CQ104" s="63"/>
      <c r="CR104" s="63"/>
    </row>
    <row r="105" spans="1:96" s="6" customFormat="1" x14ac:dyDescent="0.2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63"/>
      <c r="BO105" s="63"/>
      <c r="BP105" s="63"/>
      <c r="BQ105" s="63"/>
      <c r="BR105" s="63"/>
      <c r="BS105" s="63"/>
      <c r="BT105" s="63"/>
      <c r="BU105" s="63"/>
      <c r="BV105" s="63"/>
      <c r="BW105" s="63"/>
      <c r="BX105" s="63"/>
      <c r="BY105" s="63"/>
      <c r="BZ105" s="63"/>
      <c r="CA105" s="63"/>
      <c r="CB105" s="63"/>
      <c r="CC105" s="63"/>
      <c r="CD105" s="63"/>
      <c r="CE105" s="63"/>
      <c r="CF105" s="63"/>
      <c r="CG105" s="63"/>
      <c r="CH105" s="63"/>
      <c r="CI105" s="63"/>
      <c r="CJ105" s="63"/>
      <c r="CK105" s="63"/>
      <c r="CL105" s="63"/>
      <c r="CM105" s="63"/>
      <c r="CN105" s="63"/>
      <c r="CO105" s="63"/>
      <c r="CP105" s="63"/>
      <c r="CQ105" s="63"/>
      <c r="CR105" s="63"/>
    </row>
    <row r="106" spans="1:96" s="6" customFormat="1" x14ac:dyDescent="0.25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BJ106" s="63"/>
      <c r="BK106" s="63"/>
      <c r="BL106" s="63"/>
      <c r="BM106" s="63"/>
      <c r="BN106" s="63"/>
      <c r="BO106" s="63"/>
      <c r="BP106" s="63"/>
      <c r="BQ106" s="63"/>
      <c r="BR106" s="63"/>
      <c r="BS106" s="63"/>
      <c r="BT106" s="63"/>
      <c r="BU106" s="63"/>
      <c r="BV106" s="63"/>
      <c r="BW106" s="63"/>
      <c r="BX106" s="63"/>
      <c r="BY106" s="63"/>
      <c r="BZ106" s="63"/>
      <c r="CA106" s="63"/>
      <c r="CB106" s="63"/>
      <c r="CC106" s="63"/>
      <c r="CD106" s="63"/>
      <c r="CE106" s="63"/>
      <c r="CF106" s="63"/>
      <c r="CG106" s="63"/>
      <c r="CH106" s="63"/>
      <c r="CI106" s="63"/>
      <c r="CJ106" s="63"/>
      <c r="CK106" s="63"/>
      <c r="CL106" s="63"/>
      <c r="CM106" s="63"/>
      <c r="CN106" s="63"/>
      <c r="CO106" s="63"/>
      <c r="CP106" s="63"/>
      <c r="CQ106" s="63"/>
      <c r="CR106" s="63"/>
    </row>
    <row r="107" spans="1:96" s="6" customFormat="1" x14ac:dyDescent="0.25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  <c r="AX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  <c r="BL107" s="63"/>
      <c r="BM107" s="63"/>
      <c r="BN107" s="63"/>
      <c r="BO107" s="63"/>
      <c r="BP107" s="63"/>
      <c r="BQ107" s="63"/>
      <c r="BR107" s="63"/>
      <c r="BS107" s="63"/>
      <c r="BT107" s="63"/>
      <c r="BU107" s="63"/>
      <c r="BV107" s="63"/>
      <c r="BW107" s="63"/>
      <c r="BX107" s="63"/>
      <c r="BY107" s="63"/>
      <c r="BZ107" s="63"/>
      <c r="CA107" s="63"/>
      <c r="CB107" s="63"/>
      <c r="CC107" s="63"/>
      <c r="CD107" s="63"/>
      <c r="CE107" s="63"/>
      <c r="CF107" s="63"/>
      <c r="CG107" s="63"/>
      <c r="CH107" s="63"/>
      <c r="CI107" s="63"/>
      <c r="CJ107" s="63"/>
      <c r="CK107" s="63"/>
      <c r="CL107" s="63"/>
      <c r="CM107" s="63"/>
      <c r="CN107" s="63"/>
      <c r="CO107" s="63"/>
      <c r="CP107" s="63"/>
      <c r="CQ107" s="63"/>
      <c r="CR107" s="63"/>
    </row>
    <row r="108" spans="1:96" s="6" customFormat="1" x14ac:dyDescent="0.25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  <c r="BN108" s="63"/>
      <c r="BO108" s="63"/>
      <c r="BP108" s="63"/>
      <c r="BQ108" s="63"/>
      <c r="BR108" s="63"/>
      <c r="BS108" s="63"/>
      <c r="BT108" s="63"/>
      <c r="BU108" s="63"/>
      <c r="BV108" s="63"/>
      <c r="BW108" s="63"/>
      <c r="BX108" s="63"/>
      <c r="BY108" s="63"/>
      <c r="BZ108" s="63"/>
      <c r="CA108" s="63"/>
      <c r="CB108" s="63"/>
      <c r="CC108" s="63"/>
      <c r="CD108" s="63"/>
      <c r="CE108" s="63"/>
      <c r="CF108" s="63"/>
      <c r="CG108" s="63"/>
      <c r="CH108" s="63"/>
      <c r="CI108" s="63"/>
      <c r="CJ108" s="63"/>
      <c r="CK108" s="63"/>
      <c r="CL108" s="63"/>
      <c r="CM108" s="63"/>
      <c r="CN108" s="63"/>
      <c r="CO108" s="63"/>
      <c r="CP108" s="63"/>
      <c r="CQ108" s="63"/>
      <c r="CR108" s="63"/>
    </row>
    <row r="109" spans="1:96" s="36" customFormat="1" ht="8.25" customHeight="1" x14ac:dyDescent="0.25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  <c r="BN109" s="63"/>
      <c r="BO109" s="63"/>
      <c r="BP109" s="63"/>
      <c r="BQ109" s="63"/>
      <c r="BR109" s="63"/>
      <c r="BS109" s="63"/>
      <c r="BT109" s="63"/>
      <c r="BU109" s="63"/>
      <c r="BV109" s="63"/>
      <c r="BW109" s="63"/>
      <c r="BX109" s="63"/>
      <c r="BY109" s="63"/>
      <c r="BZ109" s="63"/>
      <c r="CA109" s="63"/>
      <c r="CB109" s="63"/>
      <c r="CC109" s="63"/>
      <c r="CD109" s="63"/>
      <c r="CE109" s="63"/>
      <c r="CF109" s="63"/>
      <c r="CG109" s="63"/>
      <c r="CH109" s="63"/>
      <c r="CI109" s="63"/>
      <c r="CJ109" s="63"/>
      <c r="CK109" s="63"/>
      <c r="CL109" s="63"/>
      <c r="CM109" s="63"/>
      <c r="CN109" s="63"/>
      <c r="CO109" s="63"/>
      <c r="CP109" s="63"/>
      <c r="CQ109" s="63"/>
      <c r="CR109" s="63"/>
    </row>
    <row r="110" spans="1:96" s="36" customFormat="1" x14ac:dyDescent="0.25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AX110" s="63"/>
      <c r="AY110" s="63"/>
      <c r="AZ110" s="63"/>
      <c r="BA110" s="63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  <c r="BL110" s="63"/>
      <c r="BM110" s="63"/>
      <c r="BN110" s="63"/>
      <c r="BO110" s="63"/>
      <c r="BP110" s="63"/>
      <c r="BQ110" s="63"/>
      <c r="BR110" s="63"/>
      <c r="BS110" s="63"/>
      <c r="BT110" s="63"/>
      <c r="BU110" s="63"/>
      <c r="BV110" s="63"/>
      <c r="BW110" s="63"/>
      <c r="BX110" s="63"/>
      <c r="BY110" s="63"/>
      <c r="BZ110" s="63"/>
      <c r="CA110" s="63"/>
      <c r="CB110" s="63"/>
      <c r="CC110" s="63"/>
      <c r="CD110" s="63"/>
      <c r="CE110" s="63"/>
      <c r="CF110" s="63"/>
      <c r="CG110" s="63"/>
      <c r="CH110" s="63"/>
      <c r="CI110" s="63"/>
      <c r="CJ110" s="63"/>
      <c r="CK110" s="63"/>
      <c r="CL110" s="63"/>
      <c r="CM110" s="63"/>
      <c r="CN110" s="63"/>
      <c r="CO110" s="63"/>
      <c r="CP110" s="63"/>
      <c r="CQ110" s="63"/>
      <c r="CR110" s="63"/>
    </row>
  </sheetData>
  <mergeCells count="101">
    <mergeCell ref="Q1:AF1"/>
    <mergeCell ref="AG1:AV1"/>
    <mergeCell ref="AW1:BL1"/>
    <mergeCell ref="BM1:CB1"/>
    <mergeCell ref="CC1:CR1"/>
    <mergeCell ref="A2:P2"/>
    <mergeCell ref="Q2:AF2"/>
    <mergeCell ref="AG2:AV2"/>
    <mergeCell ref="AW2:BL2"/>
    <mergeCell ref="BM2:CB2"/>
    <mergeCell ref="A4:P4"/>
    <mergeCell ref="Q4:AF4"/>
    <mergeCell ref="AG4:AV4"/>
    <mergeCell ref="AW4:BL4"/>
    <mergeCell ref="BM4:CB4"/>
    <mergeCell ref="CC4:CR4"/>
    <mergeCell ref="CC2:CR2"/>
    <mergeCell ref="A3:P3"/>
    <mergeCell ref="Q3:AF3"/>
    <mergeCell ref="AG3:AV3"/>
    <mergeCell ref="AW3:BL3"/>
    <mergeCell ref="BM3:CB3"/>
    <mergeCell ref="CC3:CR3"/>
    <mergeCell ref="A6:P6"/>
    <mergeCell ref="Q6:AF6"/>
    <mergeCell ref="AG6:AV6"/>
    <mergeCell ref="AW6:BL6"/>
    <mergeCell ref="BM6:CB6"/>
    <mergeCell ref="CC6:CR6"/>
    <mergeCell ref="A5:P5"/>
    <mergeCell ref="Q5:AF5"/>
    <mergeCell ref="AG5:AV5"/>
    <mergeCell ref="AW5:BL5"/>
    <mergeCell ref="BM5:CB5"/>
    <mergeCell ref="CC5:CR5"/>
    <mergeCell ref="A8:P8"/>
    <mergeCell ref="Q8:AF8"/>
    <mergeCell ref="AG8:AV8"/>
    <mergeCell ref="AW8:BL8"/>
    <mergeCell ref="BM8:CB8"/>
    <mergeCell ref="CC8:CR8"/>
    <mergeCell ref="A7:P7"/>
    <mergeCell ref="Q7:AF7"/>
    <mergeCell ref="AG7:AV7"/>
    <mergeCell ref="AW7:BL7"/>
    <mergeCell ref="BM7:CB7"/>
    <mergeCell ref="CC7:CR7"/>
    <mergeCell ref="AW10:BL10"/>
    <mergeCell ref="BM10:CB10"/>
    <mergeCell ref="CC10:CR10"/>
    <mergeCell ref="A9:P9"/>
    <mergeCell ref="Q9:AF9"/>
    <mergeCell ref="AG9:AV9"/>
    <mergeCell ref="AW9:BL9"/>
    <mergeCell ref="BM9:CB9"/>
    <mergeCell ref="CC9:CR9"/>
    <mergeCell ref="A11:A12"/>
    <mergeCell ref="B11:B12"/>
    <mergeCell ref="C11:C12"/>
    <mergeCell ref="D11:D12"/>
    <mergeCell ref="F11:H11"/>
    <mergeCell ref="J11:L11"/>
    <mergeCell ref="A10:P10"/>
    <mergeCell ref="Q10:AF10"/>
    <mergeCell ref="AG10:AV10"/>
    <mergeCell ref="Z11:AB11"/>
    <mergeCell ref="AD11:AF11"/>
    <mergeCell ref="AG11:AG12"/>
    <mergeCell ref="AH11:AH12"/>
    <mergeCell ref="AI11:AI12"/>
    <mergeCell ref="AJ11:AJ12"/>
    <mergeCell ref="N11:P11"/>
    <mergeCell ref="Q11:Q12"/>
    <mergeCell ref="R11:R12"/>
    <mergeCell ref="S11:S12"/>
    <mergeCell ref="T11:T12"/>
    <mergeCell ref="V11:X11"/>
    <mergeCell ref="AZ11:AZ12"/>
    <mergeCell ref="BB11:BD11"/>
    <mergeCell ref="BF11:BH11"/>
    <mergeCell ref="BJ11:BL11"/>
    <mergeCell ref="BM11:BM12"/>
    <mergeCell ref="BN11:BN12"/>
    <mergeCell ref="AL11:AN11"/>
    <mergeCell ref="AP11:AR11"/>
    <mergeCell ref="AT11:AV11"/>
    <mergeCell ref="AW11:AW12"/>
    <mergeCell ref="AX11:AX12"/>
    <mergeCell ref="AY11:AY12"/>
    <mergeCell ref="CD11:CD12"/>
    <mergeCell ref="CE11:CE12"/>
    <mergeCell ref="CF11:CF12"/>
    <mergeCell ref="CH11:CJ11"/>
    <mergeCell ref="CL11:CN11"/>
    <mergeCell ref="CP11:CR11"/>
    <mergeCell ref="BO11:BO12"/>
    <mergeCell ref="BP11:BP12"/>
    <mergeCell ref="BR11:BT11"/>
    <mergeCell ref="BV11:BX11"/>
    <mergeCell ref="BZ11:CB11"/>
    <mergeCell ref="CC11:CC12"/>
  </mergeCells>
  <printOptions horizontalCentered="1"/>
  <pageMargins left="0.31496062992125984" right="0.31496062992125984" top="0.74803149606299213" bottom="0.35433070866141736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topLeftCell="A2" zoomScaleNormal="100" workbookViewId="0">
      <selection activeCell="H14" sqref="H14"/>
    </sheetView>
  </sheetViews>
  <sheetFormatPr defaultRowHeight="15" x14ac:dyDescent="0.25"/>
  <cols>
    <col min="1" max="1" width="4.5703125" style="63" customWidth="1"/>
    <col min="2" max="2" width="5.85546875" style="63" customWidth="1"/>
    <col min="3" max="3" width="23.28515625" style="63" bestFit="1" customWidth="1"/>
    <col min="4" max="4" width="19.7109375" style="63" bestFit="1" customWidth="1"/>
    <col min="5" max="5" width="12.28515625" style="63" bestFit="1" customWidth="1"/>
    <col min="6" max="6" width="10" style="63" bestFit="1" customWidth="1"/>
    <col min="7" max="7" width="7.5703125" style="63" customWidth="1"/>
    <col min="8" max="8" width="8.7109375" style="63" customWidth="1"/>
    <col min="9" max="16384" width="9.140625" style="63"/>
  </cols>
  <sheetData>
    <row r="1" spans="1:8" x14ac:dyDescent="0.25">
      <c r="A1" s="79" t="str">
        <f>Данные!B66</f>
        <v>Российская автомобильная федерация</v>
      </c>
      <c r="B1" s="79"/>
      <c r="C1" s="79"/>
      <c r="D1" s="79"/>
      <c r="E1" s="79"/>
      <c r="F1" s="79"/>
      <c r="G1" s="79"/>
      <c r="H1" s="79"/>
    </row>
    <row r="2" spans="1:8" x14ac:dyDescent="0.25">
      <c r="A2" s="79" t="str">
        <f>Данные!B67</f>
        <v>ФАС Челябинской области</v>
      </c>
      <c r="B2" s="79"/>
      <c r="C2" s="79"/>
      <c r="D2" s="79"/>
      <c r="E2" s="79"/>
      <c r="F2" s="79"/>
      <c r="G2" s="79"/>
      <c r="H2" s="79"/>
    </row>
    <row r="3" spans="1:8" x14ac:dyDescent="0.25">
      <c r="A3" s="79" t="str">
        <f>Данные!B68</f>
        <v xml:space="preserve">Команда  Red Off-road Expedition </v>
      </c>
      <c r="B3" s="79"/>
      <c r="C3" s="79"/>
      <c r="D3" s="79"/>
      <c r="E3" s="79"/>
      <c r="F3" s="79"/>
      <c r="G3" s="79"/>
      <c r="H3" s="79"/>
    </row>
    <row r="4" spans="1:8" x14ac:dyDescent="0.25">
      <c r="A4" s="79" t="str">
        <f>Данные!B69</f>
        <v>ООО «Внедорожный центр 4х4»</v>
      </c>
      <c r="B4" s="79"/>
      <c r="C4" s="79"/>
      <c r="D4" s="79"/>
      <c r="E4" s="79"/>
      <c r="F4" s="79"/>
      <c r="G4" s="79"/>
      <c r="H4" s="79"/>
    </row>
    <row r="5" spans="1:8" x14ac:dyDescent="0.25">
      <c r="A5" s="79" t="str">
        <f>Данные!B70</f>
        <v>Команда Pro-X</v>
      </c>
      <c r="B5" s="79"/>
      <c r="C5" s="79"/>
      <c r="D5" s="79"/>
      <c r="E5" s="79"/>
      <c r="F5" s="79"/>
      <c r="G5" s="79"/>
      <c r="H5" s="79"/>
    </row>
    <row r="6" spans="1:8" x14ac:dyDescent="0.25">
      <c r="A6" s="79" t="str">
        <f>Данные!B71</f>
        <v>Этап кубка Урало-Сибирской зоны по трофи-рейдам</v>
      </c>
      <c r="B6" s="79"/>
      <c r="C6" s="79"/>
      <c r="D6" s="79"/>
      <c r="E6" s="79"/>
      <c r="F6" s="79"/>
      <c r="G6" s="79"/>
      <c r="H6" s="79"/>
    </row>
    <row r="7" spans="1:8" x14ac:dyDescent="0.25">
      <c r="A7" s="99"/>
      <c r="B7" s="99"/>
      <c r="C7" s="99"/>
      <c r="D7" s="99"/>
      <c r="E7" s="99"/>
      <c r="F7" s="99"/>
      <c r="G7" s="99"/>
      <c r="H7" s="99"/>
    </row>
    <row r="8" spans="1:8" x14ac:dyDescent="0.25">
      <c r="A8" s="100">
        <v>43358</v>
      </c>
      <c r="B8" s="100"/>
      <c r="C8" s="100"/>
      <c r="H8" s="60" t="s">
        <v>159</v>
      </c>
    </row>
    <row r="9" spans="1:8" x14ac:dyDescent="0.25">
      <c r="A9" s="81" t="s">
        <v>198</v>
      </c>
      <c r="B9" s="81"/>
      <c r="C9" s="81"/>
      <c r="D9" s="81"/>
      <c r="E9" s="81"/>
      <c r="F9" s="81"/>
      <c r="G9" s="81"/>
      <c r="H9" s="81"/>
    </row>
    <row r="10" spans="1:8" s="19" customFormat="1" x14ac:dyDescent="0.25">
      <c r="A10" s="63" t="str">
        <f>Данные!B61</f>
        <v>ОФИЦИАЛЬНО</v>
      </c>
      <c r="B10" s="63"/>
      <c r="C10" s="63"/>
      <c r="D10" s="63"/>
      <c r="E10" s="63"/>
      <c r="F10" s="63"/>
      <c r="G10" s="63"/>
      <c r="H10" s="53">
        <f>Данные!C61</f>
        <v>0.91666666666666663</v>
      </c>
    </row>
    <row r="11" spans="1:8" x14ac:dyDescent="0.25">
      <c r="A11" s="82" t="s">
        <v>154</v>
      </c>
      <c r="B11" s="82" t="s">
        <v>111</v>
      </c>
      <c r="C11" s="82" t="s">
        <v>1</v>
      </c>
      <c r="D11" s="82" t="s">
        <v>3</v>
      </c>
      <c r="E11" s="83" t="s">
        <v>4</v>
      </c>
      <c r="F11" s="92" t="s">
        <v>155</v>
      </c>
      <c r="G11" s="94" t="s">
        <v>156</v>
      </c>
      <c r="H11" s="82"/>
    </row>
    <row r="12" spans="1:8" s="3" customFormat="1" ht="33.75" x14ac:dyDescent="0.25">
      <c r="A12" s="82"/>
      <c r="B12" s="82"/>
      <c r="C12" s="82"/>
      <c r="D12" s="82"/>
      <c r="E12" s="83"/>
      <c r="F12" s="93"/>
      <c r="G12" s="28" t="s">
        <v>161</v>
      </c>
      <c r="H12" s="28" t="s">
        <v>160</v>
      </c>
    </row>
    <row r="13" spans="1:8" s="3" customFormat="1" ht="18.75" x14ac:dyDescent="0.25">
      <c r="A13" s="26" t="e">
        <f t="shared" ref="A13:A28" si="0">VLOOKUP($B13,TAB,133,FALSE)</f>
        <v>#N/A</v>
      </c>
      <c r="B13" s="25">
        <v>200</v>
      </c>
      <c r="C13" s="11" t="e">
        <f t="shared" ref="C13:C28" si="1">VLOOKUP($B13,TAB,2,FALSE)</f>
        <v>#N/A</v>
      </c>
      <c r="D13" s="11" t="e">
        <f t="shared" ref="D13:D28" si="2">VLOOKUP($B13,TAB,4,FALSE)</f>
        <v>#N/A</v>
      </c>
      <c r="E13" s="11" t="e">
        <f t="shared" ref="E13:E28" si="3">VLOOKUP($B13,TAB,5,FALSE)</f>
        <v>#N/A</v>
      </c>
      <c r="F13" s="26" t="e">
        <f t="shared" ref="F13:F28" si="4">VLOOKUP($B13,TAB,132,FALSE)</f>
        <v>#N/A</v>
      </c>
      <c r="G13" s="27" t="e">
        <f t="shared" ref="G13:G18" si="5">IF(F13="СХОД","СХОД",IF(A13=1,"**",F$13-F13))</f>
        <v>#N/A</v>
      </c>
      <c r="H13" s="27" t="e">
        <f t="shared" ref="H13:H18" si="6">IF(F13="СХОД","СХОД",IF(A13=1,"**",F12-F13))</f>
        <v>#N/A</v>
      </c>
    </row>
    <row r="14" spans="1:8" s="6" customFormat="1" ht="60" x14ac:dyDescent="0.25">
      <c r="A14" s="26">
        <f t="shared" si="0"/>
        <v>5</v>
      </c>
      <c r="B14" s="25">
        <v>201</v>
      </c>
      <c r="C14" s="11" t="str">
        <f t="shared" si="1"/>
        <v>Бикбулатов Илья Аликович
Стахеев Андрей Владимирович</v>
      </c>
      <c r="D14" s="11" t="str">
        <f t="shared" si="2"/>
        <v>Первоуральск
Первоуральск</v>
      </c>
      <c r="E14" s="11" t="str">
        <f t="shared" si="3"/>
        <v>УАЗ 31512</v>
      </c>
      <c r="F14" s="26">
        <f t="shared" si="4"/>
        <v>691</v>
      </c>
      <c r="G14" s="27" t="e">
        <f t="shared" si="5"/>
        <v>#N/A</v>
      </c>
      <c r="H14" s="27" t="e">
        <f t="shared" si="6"/>
        <v>#N/A</v>
      </c>
    </row>
    <row r="15" spans="1:8" s="6" customFormat="1" ht="60" x14ac:dyDescent="0.25">
      <c r="A15" s="26">
        <f t="shared" si="0"/>
        <v>2</v>
      </c>
      <c r="B15" s="25">
        <v>202</v>
      </c>
      <c r="C15" s="11" t="str">
        <f t="shared" si="1"/>
        <v>Клейн Александр Алексеевич
Манион Сергей Игоревич</v>
      </c>
      <c r="D15" s="11" t="str">
        <f t="shared" si="2"/>
        <v>Екатеринбург
Екатеринбург</v>
      </c>
      <c r="E15" s="11" t="str">
        <f t="shared" si="3"/>
        <v>TLC 70</v>
      </c>
      <c r="F15" s="26">
        <f t="shared" si="4"/>
        <v>1552</v>
      </c>
      <c r="G15" s="27" t="e">
        <f t="shared" si="5"/>
        <v>#N/A</v>
      </c>
      <c r="H15" s="27">
        <f t="shared" si="6"/>
        <v>-861</v>
      </c>
    </row>
    <row r="16" spans="1:8" s="6" customFormat="1" ht="60" x14ac:dyDescent="0.25">
      <c r="A16" s="26">
        <f t="shared" si="0"/>
        <v>7</v>
      </c>
      <c r="B16" s="25">
        <v>203</v>
      </c>
      <c r="C16" s="11" t="str">
        <f t="shared" si="1"/>
        <v>Павелин Евгений Модестович
Давыдов Сергей Владимирович</v>
      </c>
      <c r="D16" s="11" t="str">
        <f t="shared" si="2"/>
        <v>Екатеринбург
Екатеринбург</v>
      </c>
      <c r="E16" s="11" t="str">
        <f t="shared" si="3"/>
        <v>TLC 70</v>
      </c>
      <c r="F16" s="26">
        <f t="shared" si="4"/>
        <v>346</v>
      </c>
      <c r="G16" s="27" t="e">
        <f t="shared" si="5"/>
        <v>#N/A</v>
      </c>
      <c r="H16" s="27">
        <f t="shared" si="6"/>
        <v>1206</v>
      </c>
    </row>
    <row r="17" spans="1:16" s="6" customFormat="1" ht="60" x14ac:dyDescent="0.25">
      <c r="A17" s="26">
        <f t="shared" si="0"/>
        <v>1</v>
      </c>
      <c r="B17" s="25">
        <v>204</v>
      </c>
      <c r="C17" s="11" t="str">
        <f t="shared" si="1"/>
        <v>Пелевин Евгений Сергеевич
Прочуханов Игорь Игоревич</v>
      </c>
      <c r="D17" s="11" t="str">
        <f t="shared" si="2"/>
        <v>Полевской
Ревда</v>
      </c>
      <c r="E17" s="11" t="str">
        <f t="shared" si="3"/>
        <v>Нива 21213</v>
      </c>
      <c r="F17" s="26">
        <f t="shared" si="4"/>
        <v>1619</v>
      </c>
      <c r="G17" s="27" t="str">
        <f t="shared" si="5"/>
        <v>**</v>
      </c>
      <c r="H17" s="27" t="str">
        <f t="shared" si="6"/>
        <v>**</v>
      </c>
    </row>
    <row r="18" spans="1:16" s="6" customFormat="1" ht="60" x14ac:dyDescent="0.25">
      <c r="A18" s="26">
        <f t="shared" si="0"/>
        <v>4</v>
      </c>
      <c r="B18" s="25">
        <v>205</v>
      </c>
      <c r="C18" s="11" t="str">
        <f t="shared" si="1"/>
        <v>Тетерин Роман Геннадьевич
Захаров Александр Васильевич</v>
      </c>
      <c r="D18" s="11" t="str">
        <f t="shared" si="2"/>
        <v>Катайск
Катайск</v>
      </c>
      <c r="E18" s="11" t="str">
        <f t="shared" si="3"/>
        <v>УАЗ 469</v>
      </c>
      <c r="F18" s="26">
        <f t="shared" si="4"/>
        <v>988</v>
      </c>
      <c r="G18" s="27" t="e">
        <f t="shared" si="5"/>
        <v>#N/A</v>
      </c>
      <c r="H18" s="27">
        <f t="shared" si="6"/>
        <v>631</v>
      </c>
    </row>
    <row r="19" spans="1:16" s="6" customFormat="1" ht="60" x14ac:dyDescent="0.25">
      <c r="A19" s="26">
        <f t="shared" si="0"/>
        <v>3</v>
      </c>
      <c r="B19" s="25">
        <v>206</v>
      </c>
      <c r="C19" s="11" t="str">
        <f t="shared" si="1"/>
        <v>Бачурин Антон Александрович
Лашков Антон Борисович</v>
      </c>
      <c r="D19" s="11" t="str">
        <f t="shared" si="2"/>
        <v>Камышлов
Камышлов</v>
      </c>
      <c r="E19" s="11" t="str">
        <f t="shared" si="3"/>
        <v>ГАЗ-69</v>
      </c>
      <c r="F19" s="26">
        <f t="shared" si="4"/>
        <v>1479</v>
      </c>
      <c r="G19" s="27" t="e">
        <f t="shared" ref="G19:G28" si="7">IF(F19="СХОД","СХОД",IF(A19=1,"**",F$13-F19))</f>
        <v>#N/A</v>
      </c>
      <c r="H19" s="27">
        <f t="shared" ref="H19:H28" si="8">IF(F19="СХОД","СХОД",IF(A19=1,"**",F18-F19))</f>
        <v>-491</v>
      </c>
    </row>
    <row r="20" spans="1:16" s="6" customFormat="1" ht="60" x14ac:dyDescent="0.25">
      <c r="A20" s="26">
        <f t="shared" si="0"/>
        <v>8</v>
      </c>
      <c r="B20" s="25">
        <v>207</v>
      </c>
      <c r="C20" s="11" t="str">
        <f t="shared" si="1"/>
        <v>Моисеев Сергей Александрович
Никитин Сергей Владимирович</v>
      </c>
      <c r="D20" s="11" t="str">
        <f t="shared" si="2"/>
        <v>Челябинск
Челябинск</v>
      </c>
      <c r="E20" s="11" t="str">
        <f t="shared" si="3"/>
        <v>ВАЗ 2121</v>
      </c>
      <c r="F20" s="26">
        <f t="shared" si="4"/>
        <v>310</v>
      </c>
      <c r="G20" s="27" t="e">
        <f t="shared" si="7"/>
        <v>#N/A</v>
      </c>
      <c r="H20" s="27">
        <f t="shared" si="8"/>
        <v>1169</v>
      </c>
    </row>
    <row r="21" spans="1:16" s="6" customFormat="1" ht="60" x14ac:dyDescent="0.25">
      <c r="A21" s="26">
        <f t="shared" si="0"/>
        <v>5</v>
      </c>
      <c r="B21" s="25">
        <v>208</v>
      </c>
      <c r="C21" s="11" t="str">
        <f t="shared" si="1"/>
        <v>Корбков Алексей Сергеевич
Корбков Алексей Сергеевич</v>
      </c>
      <c r="D21" s="11" t="str">
        <f t="shared" si="2"/>
        <v>Тюмень
Тюмень</v>
      </c>
      <c r="E21" s="11" t="str">
        <f t="shared" si="3"/>
        <v>ВАЗ 2121</v>
      </c>
      <c r="F21" s="26">
        <f t="shared" si="4"/>
        <v>735</v>
      </c>
      <c r="G21" s="27" t="e">
        <f t="shared" si="7"/>
        <v>#N/A</v>
      </c>
      <c r="H21" s="27">
        <f t="shared" si="8"/>
        <v>-425</v>
      </c>
    </row>
    <row r="22" spans="1:16" s="6" customFormat="1" ht="60" x14ac:dyDescent="0.25">
      <c r="A22" s="26">
        <f t="shared" si="0"/>
        <v>6</v>
      </c>
      <c r="B22" s="25">
        <v>209</v>
      </c>
      <c r="C22" s="11" t="str">
        <f t="shared" si="1"/>
        <v>Фахритдинов Альберт Фикратович 
Головко Кирилл Юрьевич</v>
      </c>
      <c r="D22" s="11" t="str">
        <f t="shared" si="2"/>
        <v>Екатеринбург
Екатеринбург</v>
      </c>
      <c r="E22" s="11" t="str">
        <f t="shared" si="3"/>
        <v>Jeep Grand Cherokee</v>
      </c>
      <c r="F22" s="26">
        <f t="shared" si="4"/>
        <v>455</v>
      </c>
      <c r="G22" s="27" t="e">
        <f t="shared" si="7"/>
        <v>#N/A</v>
      </c>
      <c r="H22" s="27">
        <f t="shared" si="8"/>
        <v>280</v>
      </c>
    </row>
    <row r="23" spans="1:16" s="6" customFormat="1" ht="18.75" x14ac:dyDescent="0.25">
      <c r="A23" s="26" t="e">
        <f t="shared" si="0"/>
        <v>#N/A</v>
      </c>
      <c r="B23" s="25">
        <v>210</v>
      </c>
      <c r="C23" s="11" t="e">
        <f t="shared" si="1"/>
        <v>#N/A</v>
      </c>
      <c r="D23" s="11" t="e">
        <f t="shared" si="2"/>
        <v>#N/A</v>
      </c>
      <c r="E23" s="11" t="e">
        <f t="shared" si="3"/>
        <v>#N/A</v>
      </c>
      <c r="F23" s="26" t="e">
        <f t="shared" si="4"/>
        <v>#N/A</v>
      </c>
      <c r="G23" s="27" t="e">
        <f t="shared" si="7"/>
        <v>#N/A</v>
      </c>
      <c r="H23" s="27" t="e">
        <f t="shared" si="8"/>
        <v>#N/A</v>
      </c>
    </row>
    <row r="24" spans="1:16" s="6" customFormat="1" ht="18.75" x14ac:dyDescent="0.25">
      <c r="A24" s="26" t="e">
        <f t="shared" si="0"/>
        <v>#N/A</v>
      </c>
      <c r="B24" s="25">
        <v>211</v>
      </c>
      <c r="C24" s="11" t="e">
        <f t="shared" si="1"/>
        <v>#N/A</v>
      </c>
      <c r="D24" s="11" t="e">
        <f t="shared" si="2"/>
        <v>#N/A</v>
      </c>
      <c r="E24" s="11" t="e">
        <f t="shared" si="3"/>
        <v>#N/A</v>
      </c>
      <c r="F24" s="26" t="e">
        <f t="shared" si="4"/>
        <v>#N/A</v>
      </c>
      <c r="G24" s="27" t="e">
        <f t="shared" si="7"/>
        <v>#N/A</v>
      </c>
      <c r="H24" s="27" t="e">
        <f t="shared" si="8"/>
        <v>#N/A</v>
      </c>
    </row>
    <row r="25" spans="1:16" s="6" customFormat="1" ht="18.75" x14ac:dyDescent="0.25">
      <c r="A25" s="26" t="e">
        <f t="shared" si="0"/>
        <v>#N/A</v>
      </c>
      <c r="B25" s="25">
        <v>212</v>
      </c>
      <c r="C25" s="11" t="e">
        <f t="shared" si="1"/>
        <v>#N/A</v>
      </c>
      <c r="D25" s="11" t="e">
        <f t="shared" si="2"/>
        <v>#N/A</v>
      </c>
      <c r="E25" s="11" t="e">
        <f t="shared" si="3"/>
        <v>#N/A</v>
      </c>
      <c r="F25" s="26" t="e">
        <f t="shared" si="4"/>
        <v>#N/A</v>
      </c>
      <c r="G25" s="27" t="e">
        <f t="shared" si="7"/>
        <v>#N/A</v>
      </c>
      <c r="H25" s="27" t="e">
        <f t="shared" si="8"/>
        <v>#N/A</v>
      </c>
    </row>
    <row r="26" spans="1:16" s="6" customFormat="1" ht="18.75" x14ac:dyDescent="0.25">
      <c r="A26" s="26" t="e">
        <f t="shared" si="0"/>
        <v>#N/A</v>
      </c>
      <c r="B26" s="25">
        <v>213</v>
      </c>
      <c r="C26" s="11" t="e">
        <f t="shared" si="1"/>
        <v>#N/A</v>
      </c>
      <c r="D26" s="11" t="e">
        <f t="shared" si="2"/>
        <v>#N/A</v>
      </c>
      <c r="E26" s="11" t="e">
        <f t="shared" si="3"/>
        <v>#N/A</v>
      </c>
      <c r="F26" s="26" t="e">
        <f t="shared" si="4"/>
        <v>#N/A</v>
      </c>
      <c r="G26" s="27" t="e">
        <f t="shared" si="7"/>
        <v>#N/A</v>
      </c>
      <c r="H26" s="27" t="e">
        <f t="shared" si="8"/>
        <v>#N/A</v>
      </c>
    </row>
    <row r="27" spans="1:16" s="6" customFormat="1" ht="18.75" x14ac:dyDescent="0.25">
      <c r="A27" s="26" t="e">
        <f t="shared" si="0"/>
        <v>#N/A</v>
      </c>
      <c r="B27" s="25">
        <v>214</v>
      </c>
      <c r="C27" s="11" t="e">
        <f t="shared" si="1"/>
        <v>#N/A</v>
      </c>
      <c r="D27" s="11" t="e">
        <f t="shared" si="2"/>
        <v>#N/A</v>
      </c>
      <c r="E27" s="11" t="e">
        <f t="shared" si="3"/>
        <v>#N/A</v>
      </c>
      <c r="F27" s="26" t="e">
        <f t="shared" si="4"/>
        <v>#N/A</v>
      </c>
      <c r="G27" s="27" t="e">
        <f t="shared" si="7"/>
        <v>#N/A</v>
      </c>
      <c r="H27" s="27" t="e">
        <f t="shared" si="8"/>
        <v>#N/A</v>
      </c>
    </row>
    <row r="28" spans="1:16" s="6" customFormat="1" ht="18.75" x14ac:dyDescent="0.25">
      <c r="A28" s="26" t="e">
        <f t="shared" si="0"/>
        <v>#N/A</v>
      </c>
      <c r="B28" s="25">
        <v>215</v>
      </c>
      <c r="C28" s="11" t="e">
        <f t="shared" si="1"/>
        <v>#N/A</v>
      </c>
      <c r="D28" s="11" t="e">
        <f t="shared" si="2"/>
        <v>#N/A</v>
      </c>
      <c r="E28" s="11" t="e">
        <f t="shared" si="3"/>
        <v>#N/A</v>
      </c>
      <c r="F28" s="26" t="e">
        <f t="shared" si="4"/>
        <v>#N/A</v>
      </c>
      <c r="G28" s="27" t="e">
        <f t="shared" si="7"/>
        <v>#N/A</v>
      </c>
      <c r="H28" s="27" t="e">
        <f t="shared" si="8"/>
        <v>#N/A</v>
      </c>
    </row>
    <row r="29" spans="1:16" s="6" customFormat="1" x14ac:dyDescent="0.25">
      <c r="A29" s="32"/>
      <c r="B29" s="33"/>
      <c r="C29" s="33"/>
      <c r="D29" s="33"/>
      <c r="E29" s="34"/>
      <c r="F29" s="35"/>
      <c r="G29" s="35"/>
      <c r="H29" s="35"/>
    </row>
    <row r="30" spans="1:16" s="36" customFormat="1" x14ac:dyDescent="0.25">
      <c r="A30" s="38"/>
      <c r="B30" s="37" t="s">
        <v>157</v>
      </c>
      <c r="C30" s="37"/>
      <c r="D30" s="37"/>
      <c r="E30" s="37" t="s">
        <v>158</v>
      </c>
      <c r="F30" s="40"/>
      <c r="G30" s="40"/>
      <c r="H30" s="40"/>
      <c r="I30" s="34"/>
      <c r="J30" s="35"/>
      <c r="K30" s="35"/>
      <c r="L30" s="35"/>
      <c r="M30" s="34"/>
      <c r="N30" s="35"/>
      <c r="O30" s="35"/>
      <c r="P30" s="35"/>
    </row>
    <row r="31" spans="1:16" s="41" customFormat="1" x14ac:dyDescent="0.25">
      <c r="A31" s="63"/>
      <c r="B31" s="63"/>
      <c r="C31" s="63"/>
      <c r="D31" s="63"/>
      <c r="E31" s="63"/>
      <c r="F31" s="63"/>
      <c r="G31" s="63"/>
      <c r="H31" s="63"/>
      <c r="I31" s="39"/>
      <c r="J31" s="40"/>
      <c r="L31" s="40"/>
      <c r="M31" s="39"/>
      <c r="N31" s="40"/>
      <c r="O31" s="40"/>
      <c r="P31" s="40"/>
    </row>
  </sheetData>
  <sortState ref="A14:P29">
    <sortCondition ref="A29"/>
  </sortState>
  <mergeCells count="16">
    <mergeCell ref="A6:H6"/>
    <mergeCell ref="A1:H1"/>
    <mergeCell ref="A2:H2"/>
    <mergeCell ref="A3:H3"/>
    <mergeCell ref="A4:H4"/>
    <mergeCell ref="A5:H5"/>
    <mergeCell ref="G11:H11"/>
    <mergeCell ref="A7:H7"/>
    <mergeCell ref="A8:C8"/>
    <mergeCell ref="A9:H9"/>
    <mergeCell ref="A11:A12"/>
    <mergeCell ref="B11:B12"/>
    <mergeCell ref="C11:C12"/>
    <mergeCell ref="D11:D12"/>
    <mergeCell ref="E11:E12"/>
    <mergeCell ref="F11:F12"/>
  </mergeCells>
  <printOptions horizontalCentered="1"/>
  <pageMargins left="0.31496062992125984" right="0.31496062992125984" top="0.74803149606299213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A115"/>
  <sheetViews>
    <sheetView topLeftCell="BO30" zoomScaleNormal="100" workbookViewId="0">
      <selection activeCell="DA11" sqref="DA11:DA33"/>
    </sheetView>
  </sheetViews>
  <sheetFormatPr defaultRowHeight="15" x14ac:dyDescent="0.25"/>
  <cols>
    <col min="1" max="1" width="5.28515625" style="63" customWidth="1"/>
    <col min="2" max="2" width="23.28515625" style="63" customWidth="1"/>
    <col min="3" max="3" width="19.7109375" style="63" customWidth="1"/>
    <col min="4" max="4" width="12.28515625" style="63" customWidth="1"/>
    <col min="5" max="5" width="7.140625" style="63" customWidth="1"/>
    <col min="6" max="8" width="6.28515625" style="63" customWidth="1"/>
    <col min="9" max="9" width="7.140625" style="63" hidden="1" customWidth="1"/>
    <col min="10" max="12" width="6.28515625" style="63" hidden="1" customWidth="1"/>
    <col min="13" max="13" width="7.140625" style="63" hidden="1" customWidth="1"/>
    <col min="14" max="16" width="6.28515625" style="63" hidden="1" customWidth="1"/>
    <col min="17" max="17" width="5.7109375" style="63" hidden="1" customWidth="1"/>
    <col min="18" max="18" width="23.28515625" style="63" hidden="1" customWidth="1"/>
    <col min="19" max="19" width="19.7109375" style="63" hidden="1" customWidth="1"/>
    <col min="20" max="20" width="12.28515625" style="63" hidden="1" customWidth="1"/>
    <col min="21" max="28" width="8.140625" style="78" customWidth="1"/>
    <col min="29" max="34" width="8.140625" style="63" customWidth="1"/>
    <col min="35" max="36" width="6.28515625" style="63" customWidth="1"/>
    <col min="37" max="37" width="7.140625" style="63" bestFit="1" customWidth="1"/>
    <col min="38" max="40" width="6.28515625" style="63" customWidth="1"/>
    <col min="41" max="41" width="6.28515625" style="63" hidden="1" customWidth="1"/>
    <col min="42" max="42" width="23.28515625" style="63" hidden="1" customWidth="1"/>
    <col min="43" max="43" width="19.7109375" style="63" hidden="1" customWidth="1"/>
    <col min="44" max="44" width="12.28515625" style="63" hidden="1" customWidth="1"/>
    <col min="45" max="45" width="7.140625" style="63" bestFit="1" customWidth="1"/>
    <col min="46" max="46" width="6.28515625" style="63" customWidth="1"/>
    <col min="47" max="47" width="6.28515625" style="63" bestFit="1" customWidth="1"/>
    <col min="48" max="48" width="6.28515625" style="63" customWidth="1"/>
    <col min="49" max="49" width="7.140625" style="63" bestFit="1" customWidth="1"/>
    <col min="50" max="52" width="6.28515625" style="63" customWidth="1"/>
    <col min="53" max="53" width="7.140625" style="63" bestFit="1" customWidth="1"/>
    <col min="54" max="56" width="6.28515625" style="63" customWidth="1"/>
    <col min="57" max="57" width="5.5703125" style="63" hidden="1" customWidth="1"/>
    <col min="58" max="58" width="23.28515625" style="63" hidden="1" customWidth="1"/>
    <col min="59" max="59" width="19.7109375" style="63" hidden="1" customWidth="1"/>
    <col min="60" max="60" width="12.28515625" style="63" hidden="1" customWidth="1"/>
    <col min="61" max="61" width="7.140625" style="63" customWidth="1"/>
    <col min="62" max="62" width="6.28515625" style="63" customWidth="1"/>
    <col min="63" max="63" width="6.28515625" style="63" bestFit="1" customWidth="1"/>
    <col min="64" max="64" width="6.28515625" style="63" customWidth="1"/>
    <col min="65" max="65" width="7.140625" style="63" bestFit="1" customWidth="1"/>
    <col min="66" max="68" width="6.28515625" style="63" customWidth="1"/>
    <col min="69" max="69" width="7.140625" style="63" bestFit="1" customWidth="1"/>
    <col min="70" max="72" width="6.28515625" style="63" customWidth="1"/>
    <col min="73" max="73" width="5.5703125" style="63" hidden="1" customWidth="1"/>
    <col min="74" max="74" width="23.28515625" style="63" hidden="1" customWidth="1"/>
    <col min="75" max="75" width="19.7109375" style="63" hidden="1" customWidth="1"/>
    <col min="76" max="76" width="12.28515625" style="63" hidden="1" customWidth="1"/>
    <col min="77" max="77" width="7.140625" style="63" bestFit="1" customWidth="1"/>
    <col min="78" max="78" width="6.28515625" style="63" customWidth="1"/>
    <col min="79" max="79" width="6.28515625" style="63" bestFit="1" customWidth="1"/>
    <col min="80" max="80" width="6.28515625" style="63" customWidth="1"/>
    <col min="81" max="81" width="7.140625" style="63" bestFit="1" customWidth="1"/>
    <col min="82" max="84" width="6.28515625" style="63" customWidth="1"/>
    <col min="85" max="85" width="7.140625" style="63" bestFit="1" customWidth="1"/>
    <col min="86" max="88" width="6.28515625" style="63" customWidth="1"/>
    <col min="89" max="89" width="5.7109375" style="63" hidden="1" customWidth="1"/>
    <col min="90" max="90" width="23.28515625" style="63" hidden="1" customWidth="1"/>
    <col min="91" max="91" width="19.7109375" style="63" hidden="1" customWidth="1"/>
    <col min="92" max="92" width="12.28515625" style="63" hidden="1" customWidth="1"/>
    <col min="93" max="93" width="7.140625" style="63" bestFit="1" customWidth="1"/>
    <col min="94" max="94" width="6.28515625" style="63" customWidth="1"/>
    <col min="95" max="95" width="6.28515625" style="63" bestFit="1" customWidth="1"/>
    <col min="96" max="96" width="6.28515625" style="63" customWidth="1"/>
    <col min="97" max="97" width="7.140625" style="63" bestFit="1" customWidth="1"/>
    <col min="98" max="100" width="6.28515625" style="63" customWidth="1"/>
    <col min="101" max="101" width="7.140625" style="63" hidden="1" customWidth="1"/>
    <col min="102" max="104" width="6.28515625" style="63" hidden="1" customWidth="1"/>
    <col min="105" max="105" width="13.85546875" style="63" bestFit="1" customWidth="1"/>
    <col min="106" max="16384" width="9.140625" style="63"/>
  </cols>
  <sheetData>
    <row r="1" spans="1:105" x14ac:dyDescent="0.25">
      <c r="A1" s="60" t="str">
        <f>Данные!B66</f>
        <v>Российская автомобильная федерация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79" t="str">
        <f>Данные!B66</f>
        <v>Российская автомобильная федерация</v>
      </c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 t="str">
        <f>Данные!B66</f>
        <v>Российская автомобильная федерация</v>
      </c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 t="str">
        <f>Данные!B66</f>
        <v>Российская автомобильная федерация</v>
      </c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 t="str">
        <f>Данные!B66</f>
        <v>Российская автомобильная федерация</v>
      </c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/>
      <c r="CK1" s="79" t="str">
        <f>Данные!B66</f>
        <v>Российская автомобильная федерация</v>
      </c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</row>
    <row r="2" spans="1:105" x14ac:dyDescent="0.25">
      <c r="A2" s="79" t="str">
        <f>Данные!B67</f>
        <v>ФАС Челябинской области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 t="str">
        <f>Данные!B67</f>
        <v>ФАС Челябинской области</v>
      </c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 t="str">
        <f>Данные!B67</f>
        <v>ФАС Челябинской области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 t="str">
        <f>Данные!B67</f>
        <v>ФАС Челябинской области</v>
      </c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 t="str">
        <f>Данные!B67</f>
        <v>ФАС Челябинской области</v>
      </c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 t="str">
        <f>Данные!B67</f>
        <v>ФАС Челябинской области</v>
      </c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</row>
    <row r="3" spans="1:105" x14ac:dyDescent="0.25">
      <c r="A3" s="79" t="str">
        <f>Данные!B68</f>
        <v xml:space="preserve">Команда  Red Off-road Expedition 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 t="str">
        <f>Данные!B68</f>
        <v xml:space="preserve">Команда  Red Off-road Expedition </v>
      </c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 t="str">
        <f>Данные!B68</f>
        <v xml:space="preserve">Команда  Red Off-road Expedition </v>
      </c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 t="str">
        <f>Данные!B68</f>
        <v xml:space="preserve">Команда  Red Off-road Expedition </v>
      </c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  <c r="BQ3" s="79"/>
      <c r="BR3" s="79"/>
      <c r="BS3" s="79"/>
      <c r="BT3" s="79"/>
      <c r="BU3" s="79" t="str">
        <f>Данные!B68</f>
        <v xml:space="preserve">Команда  Red Off-road Expedition </v>
      </c>
      <c r="BV3" s="79"/>
      <c r="BW3" s="79"/>
      <c r="BX3" s="79"/>
      <c r="BY3" s="79"/>
      <c r="BZ3" s="79"/>
      <c r="CA3" s="79"/>
      <c r="CB3" s="79"/>
      <c r="CC3" s="79"/>
      <c r="CD3" s="79"/>
      <c r="CE3" s="79"/>
      <c r="CF3" s="79"/>
      <c r="CG3" s="79"/>
      <c r="CH3" s="79"/>
      <c r="CI3" s="79"/>
      <c r="CJ3" s="79"/>
      <c r="CK3" s="79" t="str">
        <f>Данные!B68</f>
        <v xml:space="preserve">Команда  Red Off-road Expedition </v>
      </c>
      <c r="CL3" s="79"/>
      <c r="CM3" s="79"/>
      <c r="CN3" s="79"/>
      <c r="CO3" s="79"/>
      <c r="CP3" s="79"/>
      <c r="CQ3" s="79"/>
      <c r="CR3" s="79"/>
      <c r="CS3" s="79"/>
      <c r="CT3" s="79"/>
      <c r="CU3" s="79"/>
      <c r="CV3" s="79"/>
      <c r="CW3" s="79"/>
      <c r="CX3" s="79"/>
      <c r="CY3" s="79"/>
      <c r="CZ3" s="79"/>
    </row>
    <row r="4" spans="1:105" x14ac:dyDescent="0.25">
      <c r="A4" s="79" t="str">
        <f>Данные!B69</f>
        <v>ООО «Внедорожный центр 4х4»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 t="str">
        <f>Данные!B69</f>
        <v>ООО «Внедорожный центр 4х4»</v>
      </c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 t="str">
        <f>Данные!B69</f>
        <v>ООО «Внедорожный центр 4х4»</v>
      </c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 t="str">
        <f>Данные!B69</f>
        <v>ООО «Внедорожный центр 4х4»</v>
      </c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 t="str">
        <f>Данные!B69</f>
        <v>ООО «Внедорожный центр 4х4»</v>
      </c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 t="str">
        <f>Данные!B69</f>
        <v>ООО «Внедорожный центр 4х4»</v>
      </c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</row>
    <row r="5" spans="1:105" x14ac:dyDescent="0.25">
      <c r="A5" s="79" t="str">
        <f>Данные!B70</f>
        <v>Команда Pro-X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 t="str">
        <f>Данные!B70</f>
        <v>Команда Pro-X</v>
      </c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 t="str">
        <f>Данные!B70</f>
        <v>Команда Pro-X</v>
      </c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 t="str">
        <f>Данные!B70</f>
        <v>Команда Pro-X</v>
      </c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 t="str">
        <f>Данные!B70</f>
        <v>Команда Pro-X</v>
      </c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 t="str">
        <f>Данные!B70</f>
        <v>Команда Pro-X</v>
      </c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</row>
    <row r="6" spans="1:105" x14ac:dyDescent="0.25">
      <c r="A6" s="79" t="str">
        <f>Данные!B71</f>
        <v>Этап кубка Урало-Сибирской зоны по трофи-рейдам</v>
      </c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 t="str">
        <f>Данные!B71</f>
        <v>Этап кубка Урало-Сибирской зоны по трофи-рейдам</v>
      </c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 t="str">
        <f>Данные!B71</f>
        <v>Этап кубка Урало-Сибирской зоны по трофи-рейдам</v>
      </c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 t="str">
        <f>Данные!B71</f>
        <v>Этап кубка Урало-Сибирской зоны по трофи-рейдам</v>
      </c>
      <c r="BF6" s="79"/>
      <c r="BG6" s="79"/>
      <c r="BH6" s="79"/>
      <c r="BI6" s="79"/>
      <c r="BJ6" s="79"/>
      <c r="BK6" s="79"/>
      <c r="BL6" s="79"/>
      <c r="BM6" s="79"/>
      <c r="BN6" s="79"/>
      <c r="BO6" s="79"/>
      <c r="BP6" s="79"/>
      <c r="BQ6" s="79"/>
      <c r="BR6" s="79"/>
      <c r="BS6" s="79"/>
      <c r="BT6" s="79"/>
      <c r="BU6" s="79" t="str">
        <f>Данные!B71</f>
        <v>Этап кубка Урало-Сибирской зоны по трофи-рейдам</v>
      </c>
      <c r="BV6" s="79"/>
      <c r="BW6" s="79"/>
      <c r="BX6" s="79"/>
      <c r="BY6" s="79"/>
      <c r="BZ6" s="79"/>
      <c r="CA6" s="79"/>
      <c r="CB6" s="79"/>
      <c r="CC6" s="79"/>
      <c r="CD6" s="79"/>
      <c r="CE6" s="79"/>
      <c r="CF6" s="79"/>
      <c r="CG6" s="79"/>
      <c r="CH6" s="79"/>
      <c r="CI6" s="79"/>
      <c r="CJ6" s="79"/>
      <c r="CK6" s="79" t="str">
        <f>Данные!B71</f>
        <v>Этап кубка Урало-Сибирской зоны по трофи-рейдам</v>
      </c>
      <c r="CL6" s="79"/>
      <c r="CM6" s="79"/>
      <c r="CN6" s="79"/>
      <c r="CO6" s="79"/>
      <c r="CP6" s="79"/>
      <c r="CQ6" s="79"/>
      <c r="CR6" s="79"/>
      <c r="CS6" s="79"/>
      <c r="CT6" s="79"/>
      <c r="CU6" s="79"/>
      <c r="CV6" s="79"/>
      <c r="CW6" s="79"/>
      <c r="CX6" s="79"/>
      <c r="CY6" s="79"/>
      <c r="CZ6" s="79"/>
    </row>
    <row r="7" spans="1:105" x14ac:dyDescent="0.25">
      <c r="A7" s="79" t="str">
        <f>Данные!B72</f>
        <v>г.Челябинск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 t="str">
        <f>Данные!B72</f>
        <v>г.Челябинск</v>
      </c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 t="str">
        <f>Данные!B72</f>
        <v>г.Челябинск</v>
      </c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 t="str">
        <f>Данные!B72</f>
        <v>г.Челябинск</v>
      </c>
      <c r="BF7" s="79"/>
      <c r="BG7" s="79"/>
      <c r="BH7" s="79"/>
      <c r="BI7" s="79"/>
      <c r="BJ7" s="79"/>
      <c r="BK7" s="79"/>
      <c r="BL7" s="79"/>
      <c r="BM7" s="79"/>
      <c r="BN7" s="79"/>
      <c r="BO7" s="79"/>
      <c r="BP7" s="79"/>
      <c r="BQ7" s="79"/>
      <c r="BR7" s="79"/>
      <c r="BS7" s="79"/>
      <c r="BT7" s="79"/>
      <c r="BU7" s="79" t="str">
        <f>Данные!B72</f>
        <v>г.Челябинск</v>
      </c>
      <c r="BV7" s="79"/>
      <c r="BW7" s="79"/>
      <c r="BX7" s="79"/>
      <c r="BY7" s="79"/>
      <c r="BZ7" s="79"/>
      <c r="CA7" s="79"/>
      <c r="CB7" s="79"/>
      <c r="CC7" s="79"/>
      <c r="CD7" s="79"/>
      <c r="CE7" s="79"/>
      <c r="CF7" s="79"/>
      <c r="CG7" s="79"/>
      <c r="CH7" s="79"/>
      <c r="CI7" s="79"/>
      <c r="CJ7" s="79"/>
      <c r="CK7" s="79" t="str">
        <f>Данные!B72</f>
        <v>г.Челябинск</v>
      </c>
      <c r="CL7" s="79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</row>
    <row r="8" spans="1:105" x14ac:dyDescent="0.25">
      <c r="A8" s="80">
        <f>Данные!B73</f>
        <v>43358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>
        <f>Данные!B73</f>
        <v>43358</v>
      </c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>
        <f>Данные!B73</f>
        <v>43358</v>
      </c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>
        <f>Данные!B73</f>
        <v>43358</v>
      </c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>
        <f>Данные!B73</f>
        <v>43358</v>
      </c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>
        <f>Данные!B73</f>
        <v>43358</v>
      </c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</row>
    <row r="9" spans="1:105" s="19" customFormat="1" x14ac:dyDescent="0.25">
      <c r="A9" s="81" t="s">
        <v>166</v>
      </c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 t="s">
        <v>166</v>
      </c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 t="s">
        <v>166</v>
      </c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 t="s">
        <v>166</v>
      </c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 t="s">
        <v>166</v>
      </c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 t="s">
        <v>166</v>
      </c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</row>
    <row r="10" spans="1:105" s="19" customFormat="1" x14ac:dyDescent="0.25">
      <c r="A10" s="97" t="s">
        <v>212</v>
      </c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 t="s">
        <v>212</v>
      </c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 t="s">
        <v>212</v>
      </c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 t="s">
        <v>212</v>
      </c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 t="s">
        <v>212</v>
      </c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 t="s">
        <v>212</v>
      </c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</row>
    <row r="11" spans="1:105" s="29" customFormat="1" ht="15" customHeight="1" x14ac:dyDescent="0.25">
      <c r="A11" s="82" t="s">
        <v>111</v>
      </c>
      <c r="B11" s="82" t="s">
        <v>1</v>
      </c>
      <c r="C11" s="82" t="s">
        <v>3</v>
      </c>
      <c r="D11" s="83" t="s">
        <v>4</v>
      </c>
      <c r="E11" s="43" t="s">
        <v>223</v>
      </c>
      <c r="F11" s="95" t="str">
        <f>VLOOKUP(E11,SU,2,FALSE)</f>
        <v>Кольцевая гонка</v>
      </c>
      <c r="G11" s="95"/>
      <c r="H11" s="96"/>
      <c r="I11" s="64"/>
      <c r="J11" s="98"/>
      <c r="K11" s="98"/>
      <c r="L11" s="98"/>
      <c r="M11" s="65"/>
      <c r="N11" s="98"/>
      <c r="O11" s="98"/>
      <c r="P11" s="98"/>
      <c r="Q11" s="82" t="s">
        <v>111</v>
      </c>
      <c r="R11" s="82" t="s">
        <v>1</v>
      </c>
      <c r="S11" s="82" t="s">
        <v>3</v>
      </c>
      <c r="T11" s="83" t="s">
        <v>4</v>
      </c>
      <c r="U11" s="43" t="s">
        <v>184</v>
      </c>
      <c r="V11" s="95" t="str">
        <f>VLOOKUP(U11,SU,2,FALSE)</f>
        <v>СУ-14</v>
      </c>
      <c r="W11" s="95"/>
      <c r="X11" s="96"/>
      <c r="Y11" s="43" t="s">
        <v>185</v>
      </c>
      <c r="Z11" s="95" t="str">
        <f>VLOOKUP(Y11,SU,2,FALSE)</f>
        <v>СУ-15</v>
      </c>
      <c r="AA11" s="95"/>
      <c r="AB11" s="96"/>
      <c r="AC11" s="43" t="s">
        <v>168</v>
      </c>
      <c r="AD11" s="95" t="str">
        <f>VLOOKUP(AC11,SU,2,FALSE)</f>
        <v>СУ-16</v>
      </c>
      <c r="AE11" s="95"/>
      <c r="AF11" s="96"/>
      <c r="AG11" s="43" t="s">
        <v>169</v>
      </c>
      <c r="AH11" s="95" t="str">
        <f>VLOOKUP(AG11,SU,2,FALSE)</f>
        <v>СУ-17</v>
      </c>
      <c r="AI11" s="95"/>
      <c r="AJ11" s="96"/>
      <c r="AK11" s="43" t="s">
        <v>170</v>
      </c>
      <c r="AL11" s="95" t="str">
        <f>VLOOKUP(AK11,SU,2,FALSE)</f>
        <v>СУ-18</v>
      </c>
      <c r="AM11" s="95"/>
      <c r="AN11" s="96"/>
      <c r="AO11" s="82" t="s">
        <v>111</v>
      </c>
      <c r="AP11" s="82" t="s">
        <v>1</v>
      </c>
      <c r="AQ11" s="82" t="s">
        <v>3</v>
      </c>
      <c r="AR11" s="83" t="s">
        <v>4</v>
      </c>
      <c r="AS11" s="43" t="s">
        <v>186</v>
      </c>
      <c r="AT11" s="95" t="str">
        <f>VLOOKUP(AS11,SU,2,FALSE)</f>
        <v>СУ-19</v>
      </c>
      <c r="AU11" s="95"/>
      <c r="AV11" s="96"/>
      <c r="AW11" s="43" t="s">
        <v>187</v>
      </c>
      <c r="AX11" s="95" t="str">
        <f>VLOOKUP(AW11,SU,2,FALSE)</f>
        <v>СУ-20</v>
      </c>
      <c r="AY11" s="95"/>
      <c r="AZ11" s="96"/>
      <c r="BA11" s="43" t="s">
        <v>188</v>
      </c>
      <c r="BB11" s="95" t="str">
        <f>VLOOKUP(BA11,SU,2,FALSE)</f>
        <v>СУ-21</v>
      </c>
      <c r="BC11" s="95"/>
      <c r="BD11" s="96"/>
      <c r="BE11" s="82" t="s">
        <v>111</v>
      </c>
      <c r="BF11" s="82" t="s">
        <v>1</v>
      </c>
      <c r="BG11" s="82" t="s">
        <v>3</v>
      </c>
      <c r="BH11" s="83" t="s">
        <v>4</v>
      </c>
      <c r="BI11" s="43" t="s">
        <v>189</v>
      </c>
      <c r="BJ11" s="95" t="str">
        <f>VLOOKUP(BI11,SU,2,FALSE)</f>
        <v>СУ-22</v>
      </c>
      <c r="BK11" s="95"/>
      <c r="BL11" s="96"/>
      <c r="BM11" s="43" t="s">
        <v>190</v>
      </c>
      <c r="BN11" s="95" t="str">
        <f>VLOOKUP(BM11,SU,2,FALSE)</f>
        <v>СУ-23</v>
      </c>
      <c r="BO11" s="95"/>
      <c r="BP11" s="96"/>
      <c r="BQ11" s="43" t="s">
        <v>191</v>
      </c>
      <c r="BR11" s="95" t="str">
        <f>VLOOKUP(BQ11,SU,2,FALSE)</f>
        <v>СУ-24</v>
      </c>
      <c r="BS11" s="95"/>
      <c r="BT11" s="96"/>
      <c r="BU11" s="82" t="s">
        <v>111</v>
      </c>
      <c r="BV11" s="82" t="s">
        <v>1</v>
      </c>
      <c r="BW11" s="82" t="s">
        <v>3</v>
      </c>
      <c r="BX11" s="83" t="s">
        <v>4</v>
      </c>
      <c r="BY11" s="43" t="s">
        <v>192</v>
      </c>
      <c r="BZ11" s="95" t="str">
        <f>VLOOKUP(BY11,SU,2,FALSE)</f>
        <v>СУ-25</v>
      </c>
      <c r="CA11" s="95"/>
      <c r="CB11" s="96"/>
      <c r="CC11" s="43" t="s">
        <v>193</v>
      </c>
      <c r="CD11" s="95" t="str">
        <f>VLOOKUP(CC11,SU,2,FALSE)</f>
        <v>СУ-26</v>
      </c>
      <c r="CE11" s="95"/>
      <c r="CF11" s="96"/>
      <c r="CG11" s="43" t="s">
        <v>194</v>
      </c>
      <c r="CH11" s="95" t="str">
        <f>VLOOKUP(CG11,SU,2,FALSE)</f>
        <v>СУ-27</v>
      </c>
      <c r="CI11" s="95"/>
      <c r="CJ11" s="96"/>
      <c r="CK11" s="82" t="s">
        <v>111</v>
      </c>
      <c r="CL11" s="82" t="s">
        <v>1</v>
      </c>
      <c r="CM11" s="82" t="s">
        <v>3</v>
      </c>
      <c r="CN11" s="83" t="s">
        <v>4</v>
      </c>
      <c r="CO11" s="43" t="s">
        <v>195</v>
      </c>
      <c r="CP11" s="95" t="str">
        <f>VLOOKUP(CO11,SU,2,FALSE)</f>
        <v>СУ-28</v>
      </c>
      <c r="CQ11" s="95"/>
      <c r="CR11" s="96"/>
      <c r="CS11" s="43" t="s">
        <v>196</v>
      </c>
      <c r="CT11" s="95" t="str">
        <f>VLOOKUP(CS11,SU,2,FALSE)</f>
        <v>СУ-29</v>
      </c>
      <c r="CU11" s="95"/>
      <c r="CV11" s="96"/>
      <c r="CW11" s="43" t="s">
        <v>197</v>
      </c>
      <c r="CX11" s="95" t="str">
        <f>VLOOKUP(CW11,SU,2,FALSE)</f>
        <v>СУ-30</v>
      </c>
      <c r="CY11" s="95"/>
      <c r="CZ11" s="96"/>
      <c r="DA11" s="77"/>
    </row>
    <row r="12" spans="1:105" s="29" customFormat="1" ht="25.5" x14ac:dyDescent="0.25">
      <c r="A12" s="82"/>
      <c r="B12" s="82"/>
      <c r="C12" s="82"/>
      <c r="D12" s="83"/>
      <c r="E12" s="62" t="s">
        <v>112</v>
      </c>
      <c r="F12" s="61" t="s">
        <v>152</v>
      </c>
      <c r="G12" s="62" t="s">
        <v>113</v>
      </c>
      <c r="H12" s="62" t="s">
        <v>114</v>
      </c>
      <c r="I12" s="66"/>
      <c r="J12" s="67"/>
      <c r="K12" s="68"/>
      <c r="L12" s="68"/>
      <c r="M12" s="68"/>
      <c r="N12" s="67"/>
      <c r="O12" s="68"/>
      <c r="P12" s="68"/>
      <c r="Q12" s="82"/>
      <c r="R12" s="82"/>
      <c r="S12" s="82"/>
      <c r="T12" s="83"/>
      <c r="U12" s="77" t="s">
        <v>112</v>
      </c>
      <c r="V12" s="76" t="s">
        <v>152</v>
      </c>
      <c r="W12" s="77" t="s">
        <v>113</v>
      </c>
      <c r="X12" s="77" t="s">
        <v>114</v>
      </c>
      <c r="Y12" s="77" t="s">
        <v>112</v>
      </c>
      <c r="Z12" s="76" t="s">
        <v>152</v>
      </c>
      <c r="AA12" s="77" t="s">
        <v>113</v>
      </c>
      <c r="AB12" s="77" t="s">
        <v>114</v>
      </c>
      <c r="AC12" s="62" t="s">
        <v>112</v>
      </c>
      <c r="AD12" s="61" t="s">
        <v>152</v>
      </c>
      <c r="AE12" s="62" t="s">
        <v>113</v>
      </c>
      <c r="AF12" s="62" t="s">
        <v>114</v>
      </c>
      <c r="AG12" s="62" t="s">
        <v>112</v>
      </c>
      <c r="AH12" s="61" t="s">
        <v>152</v>
      </c>
      <c r="AI12" s="62" t="s">
        <v>113</v>
      </c>
      <c r="AJ12" s="62" t="s">
        <v>114</v>
      </c>
      <c r="AK12" s="62" t="s">
        <v>112</v>
      </c>
      <c r="AL12" s="61" t="s">
        <v>152</v>
      </c>
      <c r="AM12" s="62" t="s">
        <v>113</v>
      </c>
      <c r="AN12" s="62" t="s">
        <v>114</v>
      </c>
      <c r="AO12" s="82"/>
      <c r="AP12" s="82"/>
      <c r="AQ12" s="82"/>
      <c r="AR12" s="83"/>
      <c r="AS12" s="62" t="s">
        <v>112</v>
      </c>
      <c r="AT12" s="61" t="s">
        <v>152</v>
      </c>
      <c r="AU12" s="62" t="s">
        <v>113</v>
      </c>
      <c r="AV12" s="62" t="s">
        <v>114</v>
      </c>
      <c r="AW12" s="62" t="s">
        <v>112</v>
      </c>
      <c r="AX12" s="61" t="s">
        <v>152</v>
      </c>
      <c r="AY12" s="62" t="s">
        <v>113</v>
      </c>
      <c r="AZ12" s="62" t="s">
        <v>114</v>
      </c>
      <c r="BA12" s="62" t="s">
        <v>112</v>
      </c>
      <c r="BB12" s="61" t="s">
        <v>152</v>
      </c>
      <c r="BC12" s="62" t="s">
        <v>113</v>
      </c>
      <c r="BD12" s="62" t="s">
        <v>114</v>
      </c>
      <c r="BE12" s="82"/>
      <c r="BF12" s="82"/>
      <c r="BG12" s="82"/>
      <c r="BH12" s="83"/>
      <c r="BI12" s="62" t="s">
        <v>112</v>
      </c>
      <c r="BJ12" s="61" t="s">
        <v>152</v>
      </c>
      <c r="BK12" s="62" t="s">
        <v>113</v>
      </c>
      <c r="BL12" s="62" t="s">
        <v>114</v>
      </c>
      <c r="BM12" s="62" t="s">
        <v>112</v>
      </c>
      <c r="BN12" s="61" t="s">
        <v>152</v>
      </c>
      <c r="BO12" s="62" t="s">
        <v>113</v>
      </c>
      <c r="BP12" s="62" t="s">
        <v>114</v>
      </c>
      <c r="BQ12" s="62" t="s">
        <v>112</v>
      </c>
      <c r="BR12" s="61" t="s">
        <v>152</v>
      </c>
      <c r="BS12" s="62" t="s">
        <v>113</v>
      </c>
      <c r="BT12" s="62" t="s">
        <v>114</v>
      </c>
      <c r="BU12" s="82"/>
      <c r="BV12" s="82"/>
      <c r="BW12" s="82"/>
      <c r="BX12" s="83"/>
      <c r="BY12" s="62" t="s">
        <v>112</v>
      </c>
      <c r="BZ12" s="61" t="s">
        <v>152</v>
      </c>
      <c r="CA12" s="62" t="s">
        <v>113</v>
      </c>
      <c r="CB12" s="62" t="s">
        <v>114</v>
      </c>
      <c r="CC12" s="62" t="s">
        <v>112</v>
      </c>
      <c r="CD12" s="61" t="s">
        <v>152</v>
      </c>
      <c r="CE12" s="62" t="s">
        <v>113</v>
      </c>
      <c r="CF12" s="62" t="s">
        <v>114</v>
      </c>
      <c r="CG12" s="62" t="s">
        <v>112</v>
      </c>
      <c r="CH12" s="61" t="s">
        <v>152</v>
      </c>
      <c r="CI12" s="62" t="s">
        <v>113</v>
      </c>
      <c r="CJ12" s="62" t="s">
        <v>114</v>
      </c>
      <c r="CK12" s="82"/>
      <c r="CL12" s="82"/>
      <c r="CM12" s="82"/>
      <c r="CN12" s="83"/>
      <c r="CO12" s="62" t="s">
        <v>112</v>
      </c>
      <c r="CP12" s="61" t="s">
        <v>152</v>
      </c>
      <c r="CQ12" s="62" t="s">
        <v>113</v>
      </c>
      <c r="CR12" s="62" t="s">
        <v>114</v>
      </c>
      <c r="CS12" s="62" t="s">
        <v>112</v>
      </c>
      <c r="CT12" s="61" t="s">
        <v>152</v>
      </c>
      <c r="CU12" s="62" t="s">
        <v>113</v>
      </c>
      <c r="CV12" s="62" t="s">
        <v>114</v>
      </c>
      <c r="CW12" s="62" t="s">
        <v>112</v>
      </c>
      <c r="CX12" s="61" t="s">
        <v>152</v>
      </c>
      <c r="CY12" s="62" t="s">
        <v>113</v>
      </c>
      <c r="CZ12" s="62" t="s">
        <v>114</v>
      </c>
      <c r="DA12" s="77" t="s">
        <v>360</v>
      </c>
    </row>
    <row r="13" spans="1:105" s="6" customFormat="1" ht="60" x14ac:dyDescent="0.25">
      <c r="A13" s="25">
        <v>301</v>
      </c>
      <c r="B13" s="11" t="str">
        <f>VLOOKUP($A13,TAB,2,FALSE)</f>
        <v>Бобров Алексей Сергеевич
Соколов Андрей Андреевич</v>
      </c>
      <c r="C13" s="11" t="str">
        <f>VLOOKUP($A13,TAB,4,FALSE)</f>
        <v>Н. Тагил
Н. Тагил</v>
      </c>
      <c r="D13" s="11" t="str">
        <f>VLOOKUP($A13,TAB,5,FALSE)</f>
        <v>УАЗ 315195</v>
      </c>
      <c r="E13" s="15" t="str">
        <f>VLOOKUP($A13,TAB,8,FALSE)</f>
        <v>DNF</v>
      </c>
      <c r="F13" s="26"/>
      <c r="G13" s="26">
        <f>VLOOKUP($A13,TAB,70,FALSE)</f>
        <v>20</v>
      </c>
      <c r="H13" s="26">
        <f>VLOOKUP($A13,TAB,101,FALSE)</f>
        <v>20</v>
      </c>
      <c r="I13" s="69"/>
      <c r="J13" s="70"/>
      <c r="K13" s="70"/>
      <c r="L13" s="70"/>
      <c r="M13" s="71"/>
      <c r="N13" s="70"/>
      <c r="O13" s="70"/>
      <c r="P13" s="70"/>
      <c r="Q13" s="25">
        <v>301</v>
      </c>
      <c r="R13" s="11" t="str">
        <f t="shared" ref="R13:R33" si="0">VLOOKUP($Q13,TAB,2,FALSE)</f>
        <v>Бобров Алексей Сергеевич
Соколов Андрей Андреевич</v>
      </c>
      <c r="S13" s="11" t="str">
        <f t="shared" ref="S13:S33" si="1">VLOOKUP($Q13,TAB,4,FALSE)</f>
        <v>Н. Тагил
Н. Тагил</v>
      </c>
      <c r="T13" s="11" t="str">
        <f t="shared" ref="T13:T33" si="2">VLOOKUP($Q13,TAB,5,FALSE)</f>
        <v>УАЗ 315195</v>
      </c>
      <c r="U13" s="15">
        <f>VLOOKUP($Q13,TAB,22,FALSE)</f>
        <v>4.0495370370370373E-3</v>
      </c>
      <c r="V13" s="26">
        <f>VLOOKUP($Q13,TAB,52,FALSE)</f>
        <v>60</v>
      </c>
      <c r="W13" s="26">
        <f>VLOOKUP($Q13,TAB,84,FALSE)</f>
        <v>78</v>
      </c>
      <c r="X13" s="26">
        <f>VLOOKUP($Q13,TAB,115,FALSE)</f>
        <v>18</v>
      </c>
      <c r="Y13" s="15" t="str">
        <f>VLOOKUP($Q13,TAB,23,FALSE)</f>
        <v>DNF</v>
      </c>
      <c r="Z13" s="26">
        <f>VLOOKUP($Q13,TAB,53,FALSE)</f>
        <v>0</v>
      </c>
      <c r="AA13" s="26">
        <f>VLOOKUP($Q13,TAB,85,FALSE)</f>
        <v>20</v>
      </c>
      <c r="AB13" s="26">
        <f>VLOOKUP($Q13,TAB,116,FALSE)</f>
        <v>20</v>
      </c>
      <c r="AC13" s="15" t="str">
        <f t="shared" ref="AC13:AC33" si="3">VLOOKUP($Q13,TAB,24,FALSE)</f>
        <v>DNF</v>
      </c>
      <c r="AD13" s="26">
        <f t="shared" ref="AD13:AD33" si="4">VLOOKUP($Q13,TAB,54,FALSE)</f>
        <v>0</v>
      </c>
      <c r="AE13" s="26">
        <f t="shared" ref="AE13:AE33" si="5">VLOOKUP($Q13,TAB,86,FALSE)</f>
        <v>20</v>
      </c>
      <c r="AF13" s="26">
        <f t="shared" ref="AF13:AF33" si="6">VLOOKUP($Q13,TAB,117,FALSE)</f>
        <v>20</v>
      </c>
      <c r="AG13" s="15" t="str">
        <f t="shared" ref="AG13:AG33" si="7">VLOOKUP($Q13,TAB,25,FALSE)</f>
        <v>DNF</v>
      </c>
      <c r="AH13" s="26">
        <f t="shared" ref="AH13:AH33" si="8">VLOOKUP($Q13,TAB,55,FALSE)</f>
        <v>0</v>
      </c>
      <c r="AI13" s="26">
        <f t="shared" ref="AI13:AI33" si="9">VLOOKUP($Q13,TAB,87,FALSE)</f>
        <v>20</v>
      </c>
      <c r="AJ13" s="26">
        <f t="shared" ref="AJ13:AJ33" si="10">VLOOKUP($Q13,TAB,118,FALSE)</f>
        <v>20</v>
      </c>
      <c r="AK13" s="15" t="str">
        <f t="shared" ref="AK13:AK33" si="11">VLOOKUP($Q13,TAB,26,FALSE)</f>
        <v>DNF</v>
      </c>
      <c r="AL13" s="26">
        <f t="shared" ref="AL13:AL33" si="12">VLOOKUP($Q13,TAB,56,FALSE)</f>
        <v>0</v>
      </c>
      <c r="AM13" s="26">
        <f t="shared" ref="AM13:AM33" si="13">VLOOKUP($Q13,TAB,88,FALSE)</f>
        <v>20</v>
      </c>
      <c r="AN13" s="26">
        <f t="shared" ref="AN13:AN33" si="14">VLOOKUP($Q13,TAB,119,FALSE)</f>
        <v>20</v>
      </c>
      <c r="AO13" s="25">
        <v>301</v>
      </c>
      <c r="AP13" s="11" t="str">
        <f t="shared" ref="AP13:AP33" si="15">VLOOKUP($AO13,TAB,2,FALSE)</f>
        <v>Бобров Алексей Сергеевич
Соколов Андрей Андреевич</v>
      </c>
      <c r="AQ13" s="11" t="str">
        <f t="shared" ref="AQ13:AQ33" si="16">VLOOKUP($AO13,TAB,4,FALSE)</f>
        <v>Н. Тагил
Н. Тагил</v>
      </c>
      <c r="AR13" s="11">
        <f t="shared" ref="AR13:AR33" si="17">VLOOKUP($AO13,TAB,3,FALSE)</f>
        <v>0</v>
      </c>
      <c r="AS13" s="15" t="str">
        <f t="shared" ref="AS13:AS33" si="18">VLOOKUP($AO13,TAB,27,FALSE)</f>
        <v>DNF</v>
      </c>
      <c r="AT13" s="26">
        <f t="shared" ref="AT13:AT33" si="19">VLOOKUP($AO13,TAB,57,FALSE)</f>
        <v>0</v>
      </c>
      <c r="AU13" s="26">
        <f t="shared" ref="AU13:AU33" si="20">VLOOKUP($AO13,TAB,89,FALSE)</f>
        <v>20</v>
      </c>
      <c r="AV13" s="26">
        <f t="shared" ref="AV13:AV33" si="21">VLOOKUP($AO13,TAB,120,FALSE)</f>
        <v>20</v>
      </c>
      <c r="AW13" s="15" t="str">
        <f t="shared" ref="AW13:AW33" si="22">VLOOKUP($AO13,TAB,28,FALSE)</f>
        <v>DNF</v>
      </c>
      <c r="AX13" s="26">
        <f t="shared" ref="AX13:AX33" si="23">VLOOKUP($AO13,TAB,58,FALSE)</f>
        <v>0</v>
      </c>
      <c r="AY13" s="26">
        <f t="shared" ref="AY13:AY33" si="24">VLOOKUP($AO13,TAB,90,FALSE)</f>
        <v>20</v>
      </c>
      <c r="AZ13" s="26">
        <f t="shared" ref="AZ13:AZ33" si="25">VLOOKUP($AO13,TAB,121,FALSE)</f>
        <v>20</v>
      </c>
      <c r="BA13" s="15" t="str">
        <f t="shared" ref="BA13:BA33" si="26">VLOOKUP($AO13,TAB,29,FALSE)</f>
        <v>DNF</v>
      </c>
      <c r="BB13" s="26">
        <f t="shared" ref="BB13:BB33" si="27">VLOOKUP($AO13,TAB,59,FALSE)</f>
        <v>0</v>
      </c>
      <c r="BC13" s="26">
        <f>VLOOKUP($AO13,TAB,91,FALSE)</f>
        <v>20</v>
      </c>
      <c r="BD13" s="26">
        <f t="shared" ref="BD13:BD33" si="28">VLOOKUP($AO13,TAB,122,FALSE)</f>
        <v>20</v>
      </c>
      <c r="BE13" s="25">
        <v>301</v>
      </c>
      <c r="BF13" s="11" t="str">
        <f t="shared" ref="BF13:BF33" si="29">VLOOKUP($BE13,TAB,2,FALSE)</f>
        <v>Бобров Алексей Сергеевич
Соколов Андрей Андреевич</v>
      </c>
      <c r="BG13" s="11" t="str">
        <f t="shared" ref="BG13:BG33" si="30">VLOOKUP($BE13,TAB,4,FALSE)</f>
        <v>Н. Тагил
Н. Тагил</v>
      </c>
      <c r="BH13" s="11" t="str">
        <f t="shared" ref="BH13:BH33" si="31">VLOOKUP($BE13,TAB,5,FALSE)</f>
        <v>УАЗ 315195</v>
      </c>
      <c r="BI13" s="15" t="str">
        <f t="shared" ref="BI13:BI33" si="32">VLOOKUP($BE13,TAB,30,FALSE)</f>
        <v>DNF</v>
      </c>
      <c r="BJ13" s="26">
        <f t="shared" ref="BJ13:BJ33" si="33">VLOOKUP($BE13,TAB,60,FALSE)</f>
        <v>0</v>
      </c>
      <c r="BK13" s="26">
        <f t="shared" ref="BK13:BK33" si="34">VLOOKUP($BE13,TAB,92,FALSE)</f>
        <v>20</v>
      </c>
      <c r="BL13" s="26">
        <f t="shared" ref="BL13:BL33" si="35">VLOOKUP($BE13,TAB,123,FALSE)</f>
        <v>20</v>
      </c>
      <c r="BM13" s="15" t="str">
        <f t="shared" ref="BM13:BM33" si="36">VLOOKUP($BE13,TAB,31,FALSE)</f>
        <v>DNF</v>
      </c>
      <c r="BN13" s="26">
        <f t="shared" ref="BN13:BN33" si="37">VLOOKUP($BE13,TAB,61,FALSE)</f>
        <v>0</v>
      </c>
      <c r="BO13" s="26">
        <f t="shared" ref="BO13:BO33" si="38">VLOOKUP($BE13,TAB,93,FALSE)</f>
        <v>20</v>
      </c>
      <c r="BP13" s="26">
        <f t="shared" ref="BP13:BP33" si="39">VLOOKUP($BE13,TAB,124,FALSE)</f>
        <v>20</v>
      </c>
      <c r="BQ13" s="15">
        <f t="shared" ref="BQ13:BQ33" si="40">VLOOKUP($BE13,TAB,32,FALSE)</f>
        <v>0</v>
      </c>
      <c r="BR13" s="26">
        <f t="shared" ref="BR13:BR33" si="41">VLOOKUP($BE13,TAB,62,FALSE)</f>
        <v>0</v>
      </c>
      <c r="BS13" s="26">
        <f t="shared" ref="BS13:BS33" si="42">VLOOKUP($BE13,TAB,94,FALSE)</f>
        <v>0</v>
      </c>
      <c r="BT13" s="26">
        <f t="shared" ref="BT13:BT33" si="43">VLOOKUP($BE13,TAB,125,FALSE)</f>
        <v>0</v>
      </c>
      <c r="BU13" s="25">
        <v>301</v>
      </c>
      <c r="BV13" s="11" t="str">
        <f t="shared" ref="BV13:BV33" si="44">VLOOKUP($BU13,TAB,2,FALSE)</f>
        <v>Бобров Алексей Сергеевич
Соколов Андрей Андреевич</v>
      </c>
      <c r="BW13" s="11" t="str">
        <f t="shared" ref="BW13:BW33" si="45">VLOOKUP($BU13,TAB,4,FALSE)</f>
        <v>Н. Тагил
Н. Тагил</v>
      </c>
      <c r="BX13" s="11" t="str">
        <f t="shared" ref="BX13:BX33" si="46">VLOOKUP($BU13,TAB,5,FALSE)</f>
        <v>УАЗ 315195</v>
      </c>
      <c r="BY13" s="15">
        <f t="shared" ref="BY13:BY33" si="47">VLOOKUP($BU13,TAB,33,FALSE)</f>
        <v>0</v>
      </c>
      <c r="BZ13" s="26">
        <f t="shared" ref="BZ13:BZ33" si="48">VLOOKUP($BU13,TAB,63,FALSE)</f>
        <v>0</v>
      </c>
      <c r="CA13" s="26">
        <f t="shared" ref="CA13:CA33" si="49">VLOOKUP($BU13,TAB,95,FALSE)</f>
        <v>0</v>
      </c>
      <c r="CB13" s="26">
        <f t="shared" ref="CB13:CB33" si="50">VLOOKUP($BU13,TAB,126,FALSE)</f>
        <v>0</v>
      </c>
      <c r="CC13" s="15" t="str">
        <f t="shared" ref="CC13:CC33" si="51">VLOOKUP($BU13,TAB,34,FALSE)</f>
        <v>DNF</v>
      </c>
      <c r="CD13" s="26">
        <f t="shared" ref="CD13:CD33" si="52">VLOOKUP($BU13,TAB,64,FALSE)</f>
        <v>0</v>
      </c>
      <c r="CE13" s="26">
        <f t="shared" ref="CE13:CE33" si="53">VLOOKUP($BU13,TAB,96,FALSE)</f>
        <v>20</v>
      </c>
      <c r="CF13" s="26">
        <f t="shared" ref="CF13:CF33" si="54">VLOOKUP($BU13,TAB,127,FALSE)</f>
        <v>20</v>
      </c>
      <c r="CG13" s="15" t="str">
        <f t="shared" ref="CG13:CG33" si="55">VLOOKUP($BU13,TAB,35,FALSE)</f>
        <v>DNF</v>
      </c>
      <c r="CH13" s="26">
        <f t="shared" ref="CH13:CH33" si="56">VLOOKUP($BU13,TAB,65,FALSE)</f>
        <v>0</v>
      </c>
      <c r="CI13" s="26">
        <f t="shared" ref="CI13:CI33" si="57">VLOOKUP($BU13,TAB,97,FALSE)</f>
        <v>20</v>
      </c>
      <c r="CJ13" s="26">
        <f t="shared" ref="CJ13:CJ33" si="58">VLOOKUP($BU13,TAB,128,FALSE)</f>
        <v>20</v>
      </c>
      <c r="CK13" s="25">
        <v>301</v>
      </c>
      <c r="CL13" s="11" t="str">
        <f t="shared" ref="CL13:CL33" si="59">VLOOKUP($CK13,TAB,2,FALSE)</f>
        <v>Бобров Алексей Сергеевич
Соколов Андрей Андреевич</v>
      </c>
      <c r="CM13" s="11" t="str">
        <f t="shared" ref="CM13:CM33" si="60">VLOOKUP($CK13,TAB,4,FALSE)</f>
        <v>Н. Тагил
Н. Тагил</v>
      </c>
      <c r="CN13" s="11" t="str">
        <f t="shared" ref="CN13:CN33" si="61">VLOOKUP($CK13,TAB,5,FALSE)</f>
        <v>УАЗ 315195</v>
      </c>
      <c r="CO13" s="15" t="str">
        <f t="shared" ref="CO13:CO33" si="62">VLOOKUP($CK13,TAB,36,FALSE)</f>
        <v>DNF</v>
      </c>
      <c r="CP13" s="26">
        <f t="shared" ref="CP13:CP33" si="63">VLOOKUP($CK13,TAB,66,FALSE)</f>
        <v>0</v>
      </c>
      <c r="CQ13" s="26">
        <f t="shared" ref="CQ13:CQ33" si="64">VLOOKUP($CK13,TAB,98,FALSE)</f>
        <v>20</v>
      </c>
      <c r="CR13" s="26">
        <f t="shared" ref="CR13:CR33" si="65">VLOOKUP($CK13,TAB,129,FALSE)</f>
        <v>20</v>
      </c>
      <c r="CS13" s="15">
        <f t="shared" ref="CS13:CS33" si="66">VLOOKUP($CK13,TAB,37,FALSE)</f>
        <v>0</v>
      </c>
      <c r="CT13" s="26">
        <f t="shared" ref="CT13:CT33" si="67">VLOOKUP($CK13,TAB,67,FALSE)</f>
        <v>0</v>
      </c>
      <c r="CU13" s="26">
        <f t="shared" ref="CU13:CU33" si="68">VLOOKUP($CK13,TAB,99,FALSE)</f>
        <v>0</v>
      </c>
      <c r="CV13" s="26">
        <f t="shared" ref="CV13:CV33" si="69">VLOOKUP($CK13,TAB,130,FALSE)</f>
        <v>0</v>
      </c>
      <c r="CW13" s="15">
        <f t="shared" ref="CW13:CW33" si="70">VLOOKUP($CK13,TAB,38,FALSE)</f>
        <v>0</v>
      </c>
      <c r="CX13" s="26">
        <f t="shared" ref="CX13:CX33" si="71">VLOOKUP($CK13,TAB,68,FALSE)</f>
        <v>0</v>
      </c>
      <c r="CY13" s="26">
        <f t="shared" ref="CY13:CY33" si="72">VLOOKUP($CK13,TAB,100,FALSE)</f>
        <v>0</v>
      </c>
      <c r="CZ13" s="26">
        <f t="shared" ref="CZ13:CZ33" si="73">VLOOKUP($CK13,TAB,131,FALSE)</f>
        <v>0</v>
      </c>
      <c r="DA13" s="11">
        <f>CV13+CR13+CJ13+CF13+CB13+BT13+BP13+BL13+BD13+AZ13+AV13+AN13+AJ13+AF13+AB13+X13+H13</f>
        <v>278</v>
      </c>
    </row>
    <row r="14" spans="1:105" s="6" customFormat="1" ht="60" x14ac:dyDescent="0.25">
      <c r="A14" s="25">
        <v>302</v>
      </c>
      <c r="B14" s="11" t="str">
        <f>VLOOKUP($A14,TAB,2,FALSE)</f>
        <v>Гончар Алексей Евгеньевич
Захаров Артем Олегович</v>
      </c>
      <c r="C14" s="11" t="str">
        <f>VLOOKUP($A14,TAB,4,FALSE)</f>
        <v>Копейск
Копейск</v>
      </c>
      <c r="D14" s="11" t="str">
        <f>VLOOKUP($A14,TAB,5,FALSE)</f>
        <v>Mitsubishi Pajero</v>
      </c>
      <c r="E14" s="15" t="str">
        <f>VLOOKUP($A14,TAB,8,FALSE)</f>
        <v>DNF</v>
      </c>
      <c r="F14" s="26"/>
      <c r="G14" s="26">
        <f>VLOOKUP($A14,TAB,70,FALSE)</f>
        <v>20</v>
      </c>
      <c r="H14" s="26">
        <f>VLOOKUP($A14,TAB,101,FALSE)</f>
        <v>20</v>
      </c>
      <c r="I14" s="69"/>
      <c r="J14" s="70"/>
      <c r="K14" s="70"/>
      <c r="L14" s="70"/>
      <c r="M14" s="71"/>
      <c r="N14" s="70"/>
      <c r="O14" s="70"/>
      <c r="P14" s="70"/>
      <c r="Q14" s="25">
        <v>302</v>
      </c>
      <c r="R14" s="11" t="str">
        <f t="shared" si="0"/>
        <v>Гончар Алексей Евгеньевич
Захаров Артем Олегович</v>
      </c>
      <c r="S14" s="11" t="str">
        <f t="shared" si="1"/>
        <v>Копейск
Копейск</v>
      </c>
      <c r="T14" s="11" t="str">
        <f t="shared" si="2"/>
        <v>Mitsubishi Pajero</v>
      </c>
      <c r="U14" s="15">
        <f>VLOOKUP($Q14,TAB,22,FALSE)</f>
        <v>4.8577546296296294E-3</v>
      </c>
      <c r="V14" s="26">
        <f>VLOOKUP($Q14,TAB,52,FALSE)</f>
        <v>10</v>
      </c>
      <c r="W14" s="26">
        <f>VLOOKUP($Q14,TAB,84,FALSE)</f>
        <v>72</v>
      </c>
      <c r="X14" s="26">
        <f>VLOOKUP($Q14,TAB,115,FALSE)</f>
        <v>62</v>
      </c>
      <c r="Y14" s="15">
        <f>VLOOKUP($Q14,TAB,23,FALSE)</f>
        <v>0</v>
      </c>
      <c r="Z14" s="26">
        <f>VLOOKUP($Q14,TAB,53,FALSE)</f>
        <v>0</v>
      </c>
      <c r="AA14" s="26">
        <f>VLOOKUP($Q14,TAB,85,FALSE)</f>
        <v>0</v>
      </c>
      <c r="AB14" s="26">
        <f>VLOOKUP($Q14,TAB,116,FALSE)</f>
        <v>0</v>
      </c>
      <c r="AC14" s="15">
        <f t="shared" si="3"/>
        <v>7.9861111111111122E-3</v>
      </c>
      <c r="AD14" s="26">
        <f t="shared" si="4"/>
        <v>0</v>
      </c>
      <c r="AE14" s="26">
        <f t="shared" si="5"/>
        <v>95</v>
      </c>
      <c r="AF14" s="26">
        <f t="shared" si="6"/>
        <v>95</v>
      </c>
      <c r="AG14" s="15">
        <f t="shared" si="7"/>
        <v>2.6620370370370374E-3</v>
      </c>
      <c r="AH14" s="26">
        <f t="shared" si="8"/>
        <v>0</v>
      </c>
      <c r="AI14" s="26">
        <f t="shared" si="9"/>
        <v>84</v>
      </c>
      <c r="AJ14" s="26">
        <f t="shared" si="10"/>
        <v>84</v>
      </c>
      <c r="AK14" s="15">
        <f t="shared" si="11"/>
        <v>0</v>
      </c>
      <c r="AL14" s="26">
        <f t="shared" si="12"/>
        <v>0</v>
      </c>
      <c r="AM14" s="26">
        <f t="shared" si="13"/>
        <v>0</v>
      </c>
      <c r="AN14" s="26">
        <f t="shared" si="14"/>
        <v>0</v>
      </c>
      <c r="AO14" s="25">
        <v>302</v>
      </c>
      <c r="AP14" s="11" t="str">
        <f t="shared" si="15"/>
        <v>Гончар Алексей Евгеньевич
Захаров Артем Олегович</v>
      </c>
      <c r="AQ14" s="11" t="str">
        <f t="shared" si="16"/>
        <v>Копейск
Копейск</v>
      </c>
      <c r="AR14" s="11" t="str">
        <f t="shared" si="17"/>
        <v>86679</v>
      </c>
      <c r="AS14" s="15">
        <f t="shared" si="18"/>
        <v>0</v>
      </c>
      <c r="AT14" s="26">
        <f t="shared" si="19"/>
        <v>0</v>
      </c>
      <c r="AU14" s="26">
        <f t="shared" si="20"/>
        <v>0</v>
      </c>
      <c r="AV14" s="26">
        <f t="shared" si="21"/>
        <v>0</v>
      </c>
      <c r="AW14" s="15">
        <f t="shared" si="22"/>
        <v>0</v>
      </c>
      <c r="AX14" s="26">
        <f t="shared" si="23"/>
        <v>0</v>
      </c>
      <c r="AY14" s="26">
        <f t="shared" si="24"/>
        <v>0</v>
      </c>
      <c r="AZ14" s="26">
        <f t="shared" si="25"/>
        <v>0</v>
      </c>
      <c r="BA14" s="15">
        <f t="shared" si="26"/>
        <v>0</v>
      </c>
      <c r="BB14" s="26">
        <f t="shared" si="27"/>
        <v>0</v>
      </c>
      <c r="BC14" s="26">
        <f>VLOOKUP($AO14,TAB,91,FALSE)</f>
        <v>0</v>
      </c>
      <c r="BD14" s="26">
        <f t="shared" si="28"/>
        <v>0</v>
      </c>
      <c r="BE14" s="25">
        <v>302</v>
      </c>
      <c r="BF14" s="11" t="str">
        <f t="shared" si="29"/>
        <v>Гончар Алексей Евгеньевич
Захаров Артем Олегович</v>
      </c>
      <c r="BG14" s="11" t="str">
        <f t="shared" si="30"/>
        <v>Копейск
Копейск</v>
      </c>
      <c r="BH14" s="11" t="str">
        <f t="shared" si="31"/>
        <v>Mitsubishi Pajero</v>
      </c>
      <c r="BI14" s="15">
        <f t="shared" si="32"/>
        <v>0</v>
      </c>
      <c r="BJ14" s="26">
        <f t="shared" si="33"/>
        <v>0</v>
      </c>
      <c r="BK14" s="26">
        <f t="shared" si="34"/>
        <v>0</v>
      </c>
      <c r="BL14" s="26">
        <f t="shared" si="35"/>
        <v>0</v>
      </c>
      <c r="BM14" s="15">
        <f t="shared" si="36"/>
        <v>0</v>
      </c>
      <c r="BN14" s="26">
        <f t="shared" si="37"/>
        <v>0</v>
      </c>
      <c r="BO14" s="26">
        <f t="shared" si="38"/>
        <v>0</v>
      </c>
      <c r="BP14" s="26">
        <f t="shared" si="39"/>
        <v>0</v>
      </c>
      <c r="BQ14" s="15">
        <f t="shared" si="40"/>
        <v>0</v>
      </c>
      <c r="BR14" s="26">
        <f t="shared" si="41"/>
        <v>0</v>
      </c>
      <c r="BS14" s="26">
        <f t="shared" si="42"/>
        <v>0</v>
      </c>
      <c r="BT14" s="26">
        <f t="shared" si="43"/>
        <v>0</v>
      </c>
      <c r="BU14" s="25">
        <v>302</v>
      </c>
      <c r="BV14" s="11" t="str">
        <f t="shared" si="44"/>
        <v>Гончар Алексей Евгеньевич
Захаров Артем Олегович</v>
      </c>
      <c r="BW14" s="11" t="str">
        <f t="shared" si="45"/>
        <v>Копейск
Копейск</v>
      </c>
      <c r="BX14" s="11" t="str">
        <f t="shared" si="46"/>
        <v>Mitsubishi Pajero</v>
      </c>
      <c r="BY14" s="15">
        <f t="shared" si="47"/>
        <v>0</v>
      </c>
      <c r="BZ14" s="26">
        <f t="shared" si="48"/>
        <v>0</v>
      </c>
      <c r="CA14" s="26">
        <f t="shared" si="49"/>
        <v>0</v>
      </c>
      <c r="CB14" s="26">
        <f t="shared" si="50"/>
        <v>0</v>
      </c>
      <c r="CC14" s="15">
        <f t="shared" si="51"/>
        <v>0</v>
      </c>
      <c r="CD14" s="26">
        <f t="shared" si="52"/>
        <v>0</v>
      </c>
      <c r="CE14" s="26">
        <f t="shared" si="53"/>
        <v>0</v>
      </c>
      <c r="CF14" s="26">
        <f t="shared" si="54"/>
        <v>0</v>
      </c>
      <c r="CG14" s="15">
        <f t="shared" si="55"/>
        <v>0</v>
      </c>
      <c r="CH14" s="26">
        <f t="shared" si="56"/>
        <v>0</v>
      </c>
      <c r="CI14" s="26">
        <f t="shared" si="57"/>
        <v>0</v>
      </c>
      <c r="CJ14" s="26">
        <f t="shared" si="58"/>
        <v>0</v>
      </c>
      <c r="CK14" s="25">
        <v>302</v>
      </c>
      <c r="CL14" s="11" t="str">
        <f t="shared" si="59"/>
        <v>Гончар Алексей Евгеньевич
Захаров Артем Олегович</v>
      </c>
      <c r="CM14" s="11" t="str">
        <f t="shared" si="60"/>
        <v>Копейск
Копейск</v>
      </c>
      <c r="CN14" s="11" t="str">
        <f t="shared" si="61"/>
        <v>Mitsubishi Pajero</v>
      </c>
      <c r="CO14" s="15">
        <f t="shared" si="62"/>
        <v>0</v>
      </c>
      <c r="CP14" s="26">
        <f t="shared" si="63"/>
        <v>0</v>
      </c>
      <c r="CQ14" s="26">
        <f t="shared" si="64"/>
        <v>0</v>
      </c>
      <c r="CR14" s="26">
        <f t="shared" si="65"/>
        <v>0</v>
      </c>
      <c r="CS14" s="15">
        <f t="shared" si="66"/>
        <v>0</v>
      </c>
      <c r="CT14" s="26">
        <f t="shared" si="67"/>
        <v>0</v>
      </c>
      <c r="CU14" s="26">
        <f t="shared" si="68"/>
        <v>0</v>
      </c>
      <c r="CV14" s="26">
        <f t="shared" si="69"/>
        <v>0</v>
      </c>
      <c r="CW14" s="15">
        <f t="shared" si="70"/>
        <v>0</v>
      </c>
      <c r="CX14" s="26">
        <f t="shared" si="71"/>
        <v>0</v>
      </c>
      <c r="CY14" s="26">
        <f t="shared" si="72"/>
        <v>0</v>
      </c>
      <c r="CZ14" s="26">
        <f t="shared" si="73"/>
        <v>0</v>
      </c>
      <c r="DA14" s="11">
        <f t="shared" ref="DA14:DA33" si="74">CV14+CR14+CJ14+CF14+CB14+BT14+BP14+BL14+BD14+AZ14+AV14+AN14+AJ14+AF14+AB14+X14+H14</f>
        <v>261</v>
      </c>
    </row>
    <row r="15" spans="1:105" s="6" customFormat="1" ht="60" x14ac:dyDescent="0.25">
      <c r="A15" s="25">
        <v>303</v>
      </c>
      <c r="B15" s="11" t="str">
        <f>VLOOKUP($A15,TAB,2,FALSE)</f>
        <v>Яснов Александр Павлович
Клюсов Евгений Петрович</v>
      </c>
      <c r="C15" s="11" t="str">
        <f>VLOOKUP($A15,TAB,4,FALSE)</f>
        <v>Тюмень
Тюмень</v>
      </c>
      <c r="D15" s="11" t="str">
        <f>VLOOKUP($A15,TAB,5,FALSE)</f>
        <v>Suzuki Jimny</v>
      </c>
      <c r="E15" s="15">
        <f>VLOOKUP($A15,TAB,8,FALSE)</f>
        <v>9.2013888888888892E-3</v>
      </c>
      <c r="F15" s="26"/>
      <c r="G15" s="26">
        <f>VLOOKUP($A15,TAB,70,FALSE)</f>
        <v>95</v>
      </c>
      <c r="H15" s="26">
        <f>VLOOKUP($A15,TAB,101,FALSE)</f>
        <v>95</v>
      </c>
      <c r="I15" s="69"/>
      <c r="J15" s="70"/>
      <c r="K15" s="70"/>
      <c r="L15" s="70"/>
      <c r="M15" s="71"/>
      <c r="N15" s="70"/>
      <c r="O15" s="70"/>
      <c r="P15" s="70"/>
      <c r="Q15" s="25">
        <v>303</v>
      </c>
      <c r="R15" s="11" t="str">
        <f t="shared" si="0"/>
        <v>Яснов Александр Павлович
Клюсов Евгений Петрович</v>
      </c>
      <c r="S15" s="11" t="str">
        <f t="shared" si="1"/>
        <v>Тюмень
Тюмень</v>
      </c>
      <c r="T15" s="11" t="str">
        <f t="shared" si="2"/>
        <v>Suzuki Jimny</v>
      </c>
      <c r="U15" s="15">
        <f>VLOOKUP($Q15,TAB,22,FALSE)</f>
        <v>1.7180555555555558E-3</v>
      </c>
      <c r="V15" s="26">
        <f>VLOOKUP($Q15,TAB,52,FALSE)</f>
        <v>10</v>
      </c>
      <c r="W15" s="26">
        <f>VLOOKUP($Q15,TAB,84,FALSE)</f>
        <v>100</v>
      </c>
      <c r="X15" s="26">
        <f>VLOOKUP($Q15,TAB,115,FALSE)</f>
        <v>90</v>
      </c>
      <c r="Y15" s="15">
        <f>VLOOKUP($Q15,TAB,23,FALSE)</f>
        <v>0</v>
      </c>
      <c r="Z15" s="26">
        <f>VLOOKUP($Q15,TAB,53,FALSE)</f>
        <v>0</v>
      </c>
      <c r="AA15" s="26">
        <f>VLOOKUP($Q15,TAB,85,FALSE)</f>
        <v>0</v>
      </c>
      <c r="AB15" s="26">
        <f>VLOOKUP($Q15,TAB,116,FALSE)</f>
        <v>0</v>
      </c>
      <c r="AC15" s="15" t="str">
        <f t="shared" si="3"/>
        <v>DNF</v>
      </c>
      <c r="AD15" s="26">
        <f t="shared" si="4"/>
        <v>0</v>
      </c>
      <c r="AE15" s="26">
        <f t="shared" si="5"/>
        <v>20</v>
      </c>
      <c r="AF15" s="26">
        <f t="shared" si="6"/>
        <v>20</v>
      </c>
      <c r="AG15" s="15">
        <f t="shared" si="7"/>
        <v>1.4930555555555556E-3</v>
      </c>
      <c r="AH15" s="26">
        <f t="shared" si="8"/>
        <v>0</v>
      </c>
      <c r="AI15" s="26">
        <f t="shared" si="9"/>
        <v>100</v>
      </c>
      <c r="AJ15" s="26">
        <f t="shared" si="10"/>
        <v>100</v>
      </c>
      <c r="AK15" s="15">
        <f t="shared" si="11"/>
        <v>4.8512731481481488E-3</v>
      </c>
      <c r="AL15" s="26">
        <f t="shared" si="12"/>
        <v>0</v>
      </c>
      <c r="AM15" s="26">
        <f t="shared" si="13"/>
        <v>95</v>
      </c>
      <c r="AN15" s="26">
        <f t="shared" si="14"/>
        <v>95</v>
      </c>
      <c r="AO15" s="25">
        <v>303</v>
      </c>
      <c r="AP15" s="11" t="str">
        <f t="shared" si="15"/>
        <v>Яснов Александр Павлович
Клюсов Евгений Петрович</v>
      </c>
      <c r="AQ15" s="11" t="str">
        <f t="shared" si="16"/>
        <v>Тюмень
Тюмень</v>
      </c>
      <c r="AR15" s="11" t="str">
        <f t="shared" si="17"/>
        <v>181380</v>
      </c>
      <c r="AS15" s="15">
        <f t="shared" si="18"/>
        <v>2.1527777777777778E-3</v>
      </c>
      <c r="AT15" s="26">
        <f t="shared" si="19"/>
        <v>0</v>
      </c>
      <c r="AU15" s="26">
        <f t="shared" si="20"/>
        <v>100</v>
      </c>
      <c r="AV15" s="26">
        <f t="shared" si="21"/>
        <v>100</v>
      </c>
      <c r="AW15" s="15">
        <f t="shared" si="22"/>
        <v>2.9629629629629628E-3</v>
      </c>
      <c r="AX15" s="26">
        <f t="shared" si="23"/>
        <v>0</v>
      </c>
      <c r="AY15" s="26">
        <f t="shared" si="24"/>
        <v>100</v>
      </c>
      <c r="AZ15" s="26">
        <f t="shared" si="25"/>
        <v>100</v>
      </c>
      <c r="BA15" s="15">
        <f t="shared" si="26"/>
        <v>2.7586805555555559E-3</v>
      </c>
      <c r="BB15" s="26">
        <f t="shared" si="27"/>
        <v>0</v>
      </c>
      <c r="BC15" s="26">
        <f>VLOOKUP($AO15,TAB,91,FALSE)</f>
        <v>100</v>
      </c>
      <c r="BD15" s="26">
        <f t="shared" si="28"/>
        <v>100</v>
      </c>
      <c r="BE15" s="25">
        <v>303</v>
      </c>
      <c r="BF15" s="11" t="str">
        <f t="shared" si="29"/>
        <v>Яснов Александр Павлович
Клюсов Евгений Петрович</v>
      </c>
      <c r="BG15" s="11" t="str">
        <f t="shared" si="30"/>
        <v>Тюмень
Тюмень</v>
      </c>
      <c r="BH15" s="11" t="str">
        <f t="shared" si="31"/>
        <v>Suzuki Jimny</v>
      </c>
      <c r="BI15" s="15">
        <f t="shared" si="32"/>
        <v>5.1167824074074076E-3</v>
      </c>
      <c r="BJ15" s="26">
        <f t="shared" si="33"/>
        <v>0</v>
      </c>
      <c r="BK15" s="26">
        <f t="shared" si="34"/>
        <v>100</v>
      </c>
      <c r="BL15" s="26">
        <f t="shared" si="35"/>
        <v>100</v>
      </c>
      <c r="BM15" s="15">
        <f t="shared" si="36"/>
        <v>2.8378472222222225E-3</v>
      </c>
      <c r="BN15" s="26">
        <f t="shared" si="37"/>
        <v>0</v>
      </c>
      <c r="BO15" s="26">
        <f t="shared" si="38"/>
        <v>81</v>
      </c>
      <c r="BP15" s="26">
        <f t="shared" si="39"/>
        <v>81</v>
      </c>
      <c r="BQ15" s="15">
        <f t="shared" si="40"/>
        <v>1.9466435185185186E-3</v>
      </c>
      <c r="BR15" s="26">
        <f t="shared" si="41"/>
        <v>0</v>
      </c>
      <c r="BS15" s="26">
        <f t="shared" si="42"/>
        <v>81</v>
      </c>
      <c r="BT15" s="26">
        <f t="shared" si="43"/>
        <v>81</v>
      </c>
      <c r="BU15" s="25">
        <v>303</v>
      </c>
      <c r="BV15" s="11" t="str">
        <f t="shared" si="44"/>
        <v>Яснов Александр Павлович
Клюсов Евгений Петрович</v>
      </c>
      <c r="BW15" s="11" t="str">
        <f t="shared" si="45"/>
        <v>Тюмень
Тюмень</v>
      </c>
      <c r="BX15" s="11" t="str">
        <f t="shared" si="46"/>
        <v>Suzuki Jimny</v>
      </c>
      <c r="BY15" s="15">
        <f t="shared" si="47"/>
        <v>4.8842592592592592E-3</v>
      </c>
      <c r="BZ15" s="26">
        <f t="shared" si="48"/>
        <v>10</v>
      </c>
      <c r="CA15" s="26">
        <f t="shared" si="49"/>
        <v>95</v>
      </c>
      <c r="CB15" s="26">
        <f t="shared" si="50"/>
        <v>85</v>
      </c>
      <c r="CC15" s="15">
        <f t="shared" si="51"/>
        <v>1.1458333333333333E-3</v>
      </c>
      <c r="CD15" s="26">
        <f t="shared" si="52"/>
        <v>0</v>
      </c>
      <c r="CE15" s="26">
        <f t="shared" si="53"/>
        <v>95</v>
      </c>
      <c r="CF15" s="26">
        <f t="shared" si="54"/>
        <v>95</v>
      </c>
      <c r="CG15" s="15">
        <f t="shared" si="55"/>
        <v>2.4305555555555556E-3</v>
      </c>
      <c r="CH15" s="26">
        <f t="shared" si="56"/>
        <v>0</v>
      </c>
      <c r="CI15" s="26">
        <f t="shared" si="57"/>
        <v>100</v>
      </c>
      <c r="CJ15" s="26">
        <f t="shared" si="58"/>
        <v>100</v>
      </c>
      <c r="CK15" s="25">
        <v>303</v>
      </c>
      <c r="CL15" s="11" t="str">
        <f t="shared" si="59"/>
        <v>Яснов Александр Павлович
Клюсов Евгений Петрович</v>
      </c>
      <c r="CM15" s="11" t="str">
        <f t="shared" si="60"/>
        <v>Тюмень
Тюмень</v>
      </c>
      <c r="CN15" s="11" t="str">
        <f t="shared" si="61"/>
        <v>Suzuki Jimny</v>
      </c>
      <c r="CO15" s="15">
        <f t="shared" si="62"/>
        <v>2.9513888888888888E-3</v>
      </c>
      <c r="CP15" s="26">
        <f t="shared" si="63"/>
        <v>0</v>
      </c>
      <c r="CQ15" s="26">
        <f t="shared" si="64"/>
        <v>100</v>
      </c>
      <c r="CR15" s="26">
        <f t="shared" si="65"/>
        <v>100</v>
      </c>
      <c r="CS15" s="15" t="str">
        <f t="shared" si="66"/>
        <v>DNF</v>
      </c>
      <c r="CT15" s="26">
        <f t="shared" si="67"/>
        <v>0</v>
      </c>
      <c r="CU15" s="26">
        <f t="shared" si="68"/>
        <v>20</v>
      </c>
      <c r="CV15" s="26">
        <f t="shared" si="69"/>
        <v>20</v>
      </c>
      <c r="CW15" s="15">
        <f t="shared" si="70"/>
        <v>0</v>
      </c>
      <c r="CX15" s="26">
        <f t="shared" si="71"/>
        <v>0</v>
      </c>
      <c r="CY15" s="26">
        <f t="shared" si="72"/>
        <v>0</v>
      </c>
      <c r="CZ15" s="26">
        <f t="shared" si="73"/>
        <v>0</v>
      </c>
      <c r="DA15" s="11">
        <f t="shared" si="74"/>
        <v>1362</v>
      </c>
    </row>
    <row r="16" spans="1:105" s="6" customFormat="1" ht="60" x14ac:dyDescent="0.25">
      <c r="A16" s="25">
        <v>304</v>
      </c>
      <c r="B16" s="11" t="str">
        <f>VLOOKUP($A16,TAB,2,FALSE)</f>
        <v>Извеков Вадим Васильевич
Просеков Алексей Федорович</v>
      </c>
      <c r="C16" s="11" t="str">
        <f>VLOOKUP($A16,TAB,4,FALSE)</f>
        <v>Юргамыш
Юргамыш</v>
      </c>
      <c r="D16" s="11" t="str">
        <f>VLOOKUP($A16,TAB,5,FALSE)</f>
        <v>УАЗ 31514</v>
      </c>
      <c r="E16" s="15" t="str">
        <f>VLOOKUP($A16,TAB,8,FALSE)</f>
        <v>DNF</v>
      </c>
      <c r="F16" s="26"/>
      <c r="G16" s="26">
        <f>VLOOKUP($A16,TAB,70,FALSE)</f>
        <v>20</v>
      </c>
      <c r="H16" s="26">
        <f>VLOOKUP($A16,TAB,101,FALSE)</f>
        <v>20</v>
      </c>
      <c r="I16" s="69"/>
      <c r="J16" s="70"/>
      <c r="K16" s="70"/>
      <c r="L16" s="70"/>
      <c r="M16" s="71"/>
      <c r="N16" s="70"/>
      <c r="O16" s="70"/>
      <c r="P16" s="70"/>
      <c r="Q16" s="25">
        <v>304</v>
      </c>
      <c r="R16" s="11" t="str">
        <f t="shared" si="0"/>
        <v>Извеков Вадим Васильевич
Просеков Алексей Федорович</v>
      </c>
      <c r="S16" s="11" t="str">
        <f t="shared" si="1"/>
        <v>Юргамыш
Юргамыш</v>
      </c>
      <c r="T16" s="11" t="str">
        <f t="shared" si="2"/>
        <v>УАЗ 31514</v>
      </c>
      <c r="U16" s="15">
        <f>VLOOKUP($Q16,TAB,22,FALSE)</f>
        <v>0</v>
      </c>
      <c r="V16" s="26">
        <f>VLOOKUP($Q16,TAB,52,FALSE)</f>
        <v>0</v>
      </c>
      <c r="W16" s="26">
        <f>VLOOKUP($Q16,TAB,84,FALSE)</f>
        <v>0</v>
      </c>
      <c r="X16" s="26">
        <f>VLOOKUP($Q16,TAB,115,FALSE)</f>
        <v>0</v>
      </c>
      <c r="Y16" s="15">
        <f>VLOOKUP($Q16,TAB,23,FALSE)</f>
        <v>0</v>
      </c>
      <c r="Z16" s="26">
        <f>VLOOKUP($Q16,TAB,53,FALSE)</f>
        <v>0</v>
      </c>
      <c r="AA16" s="26">
        <f>VLOOKUP($Q16,TAB,85,FALSE)</f>
        <v>0</v>
      </c>
      <c r="AB16" s="26">
        <f>VLOOKUP($Q16,TAB,116,FALSE)</f>
        <v>0</v>
      </c>
      <c r="AC16" s="15">
        <f t="shared" si="3"/>
        <v>0</v>
      </c>
      <c r="AD16" s="26">
        <f t="shared" si="4"/>
        <v>0</v>
      </c>
      <c r="AE16" s="26">
        <f t="shared" si="5"/>
        <v>0</v>
      </c>
      <c r="AF16" s="26">
        <f t="shared" si="6"/>
        <v>0</v>
      </c>
      <c r="AG16" s="15" t="str">
        <f t="shared" si="7"/>
        <v>DNF</v>
      </c>
      <c r="AH16" s="26">
        <f t="shared" si="8"/>
        <v>0</v>
      </c>
      <c r="AI16" s="26">
        <f t="shared" si="9"/>
        <v>20</v>
      </c>
      <c r="AJ16" s="26">
        <f t="shared" si="10"/>
        <v>20</v>
      </c>
      <c r="AK16" s="15">
        <f t="shared" si="11"/>
        <v>0</v>
      </c>
      <c r="AL16" s="26">
        <f t="shared" si="12"/>
        <v>0</v>
      </c>
      <c r="AM16" s="26">
        <f t="shared" si="13"/>
        <v>0</v>
      </c>
      <c r="AN16" s="26">
        <f t="shared" si="14"/>
        <v>0</v>
      </c>
      <c r="AO16" s="25">
        <v>304</v>
      </c>
      <c r="AP16" s="11" t="str">
        <f t="shared" si="15"/>
        <v>Извеков Вадим Васильевич
Просеков Алексей Федорович</v>
      </c>
      <c r="AQ16" s="11" t="str">
        <f t="shared" si="16"/>
        <v>Юргамыш
Юргамыш</v>
      </c>
      <c r="AR16" s="11">
        <f t="shared" si="17"/>
        <v>0</v>
      </c>
      <c r="AS16" s="15">
        <f t="shared" si="18"/>
        <v>0</v>
      </c>
      <c r="AT16" s="26">
        <f t="shared" si="19"/>
        <v>0</v>
      </c>
      <c r="AU16" s="26">
        <f t="shared" si="20"/>
        <v>0</v>
      </c>
      <c r="AV16" s="26">
        <f t="shared" si="21"/>
        <v>0</v>
      </c>
      <c r="AW16" s="15">
        <f t="shared" si="22"/>
        <v>0</v>
      </c>
      <c r="AX16" s="26">
        <f t="shared" si="23"/>
        <v>0</v>
      </c>
      <c r="AY16" s="26">
        <f t="shared" si="24"/>
        <v>0</v>
      </c>
      <c r="AZ16" s="26">
        <f t="shared" si="25"/>
        <v>0</v>
      </c>
      <c r="BA16" s="15">
        <f t="shared" si="26"/>
        <v>0</v>
      </c>
      <c r="BB16" s="26">
        <f t="shared" si="27"/>
        <v>0</v>
      </c>
      <c r="BC16" s="26">
        <f>VLOOKUP($AO16,TAB,91,FALSE)</f>
        <v>0</v>
      </c>
      <c r="BD16" s="26">
        <f t="shared" si="28"/>
        <v>0</v>
      </c>
      <c r="BE16" s="25">
        <v>304</v>
      </c>
      <c r="BF16" s="11" t="str">
        <f t="shared" si="29"/>
        <v>Извеков Вадим Васильевич
Просеков Алексей Федорович</v>
      </c>
      <c r="BG16" s="11" t="str">
        <f t="shared" si="30"/>
        <v>Юргамыш
Юргамыш</v>
      </c>
      <c r="BH16" s="11" t="str">
        <f t="shared" si="31"/>
        <v>УАЗ 31514</v>
      </c>
      <c r="BI16" s="15">
        <f t="shared" si="32"/>
        <v>0</v>
      </c>
      <c r="BJ16" s="26">
        <f t="shared" si="33"/>
        <v>0</v>
      </c>
      <c r="BK16" s="26">
        <f t="shared" si="34"/>
        <v>0</v>
      </c>
      <c r="BL16" s="26">
        <f t="shared" si="35"/>
        <v>0</v>
      </c>
      <c r="BM16" s="15">
        <f t="shared" si="36"/>
        <v>0</v>
      </c>
      <c r="BN16" s="26">
        <f t="shared" si="37"/>
        <v>0</v>
      </c>
      <c r="BO16" s="26">
        <f t="shared" si="38"/>
        <v>0</v>
      </c>
      <c r="BP16" s="26">
        <f t="shared" si="39"/>
        <v>0</v>
      </c>
      <c r="BQ16" s="15">
        <f t="shared" si="40"/>
        <v>0</v>
      </c>
      <c r="BR16" s="26">
        <f t="shared" si="41"/>
        <v>0</v>
      </c>
      <c r="BS16" s="26">
        <f t="shared" si="42"/>
        <v>0</v>
      </c>
      <c r="BT16" s="26">
        <f t="shared" si="43"/>
        <v>0</v>
      </c>
      <c r="BU16" s="25">
        <v>304</v>
      </c>
      <c r="BV16" s="11" t="str">
        <f t="shared" si="44"/>
        <v>Извеков Вадим Васильевич
Просеков Алексей Федорович</v>
      </c>
      <c r="BW16" s="11" t="str">
        <f t="shared" si="45"/>
        <v>Юргамыш
Юргамыш</v>
      </c>
      <c r="BX16" s="11" t="str">
        <f t="shared" si="46"/>
        <v>УАЗ 31514</v>
      </c>
      <c r="BY16" s="15">
        <f t="shared" si="47"/>
        <v>0</v>
      </c>
      <c r="BZ16" s="26">
        <f t="shared" si="48"/>
        <v>0</v>
      </c>
      <c r="CA16" s="26">
        <f t="shared" si="49"/>
        <v>0</v>
      </c>
      <c r="CB16" s="26">
        <f t="shared" si="50"/>
        <v>0</v>
      </c>
      <c r="CC16" s="15">
        <f t="shared" si="51"/>
        <v>0</v>
      </c>
      <c r="CD16" s="26">
        <f t="shared" si="52"/>
        <v>0</v>
      </c>
      <c r="CE16" s="26">
        <f t="shared" si="53"/>
        <v>0</v>
      </c>
      <c r="CF16" s="26">
        <f t="shared" si="54"/>
        <v>0</v>
      </c>
      <c r="CG16" s="15">
        <f t="shared" si="55"/>
        <v>0</v>
      </c>
      <c r="CH16" s="26">
        <f t="shared" si="56"/>
        <v>0</v>
      </c>
      <c r="CI16" s="26">
        <f t="shared" si="57"/>
        <v>0</v>
      </c>
      <c r="CJ16" s="26">
        <f t="shared" si="58"/>
        <v>0</v>
      </c>
      <c r="CK16" s="25">
        <v>304</v>
      </c>
      <c r="CL16" s="11" t="str">
        <f t="shared" si="59"/>
        <v>Извеков Вадим Васильевич
Просеков Алексей Федорович</v>
      </c>
      <c r="CM16" s="11" t="str">
        <f t="shared" si="60"/>
        <v>Юргамыш
Юргамыш</v>
      </c>
      <c r="CN16" s="11" t="str">
        <f t="shared" si="61"/>
        <v>УАЗ 31514</v>
      </c>
      <c r="CO16" s="15">
        <f t="shared" si="62"/>
        <v>0</v>
      </c>
      <c r="CP16" s="26">
        <f t="shared" si="63"/>
        <v>0</v>
      </c>
      <c r="CQ16" s="26">
        <f t="shared" si="64"/>
        <v>0</v>
      </c>
      <c r="CR16" s="26">
        <f t="shared" si="65"/>
        <v>0</v>
      </c>
      <c r="CS16" s="15">
        <f t="shared" si="66"/>
        <v>0</v>
      </c>
      <c r="CT16" s="26">
        <f t="shared" si="67"/>
        <v>0</v>
      </c>
      <c r="CU16" s="26">
        <f t="shared" si="68"/>
        <v>0</v>
      </c>
      <c r="CV16" s="26">
        <f t="shared" si="69"/>
        <v>0</v>
      </c>
      <c r="CW16" s="15">
        <f t="shared" si="70"/>
        <v>0</v>
      </c>
      <c r="CX16" s="26">
        <f t="shared" si="71"/>
        <v>0</v>
      </c>
      <c r="CY16" s="26">
        <f t="shared" si="72"/>
        <v>0</v>
      </c>
      <c r="CZ16" s="26">
        <f t="shared" si="73"/>
        <v>0</v>
      </c>
      <c r="DA16" s="11">
        <f t="shared" si="74"/>
        <v>40</v>
      </c>
    </row>
    <row r="17" spans="1:105" s="6" customFormat="1" ht="60" x14ac:dyDescent="0.25">
      <c r="A17" s="25">
        <v>305</v>
      </c>
      <c r="B17" s="11" t="str">
        <f>VLOOKUP($A17,TAB,2,FALSE)</f>
        <v>Коркодинов Андрей Игоревич
Ибрагимов Рамиль Зуфарович</v>
      </c>
      <c r="C17" s="11" t="str">
        <f>VLOOKUP($A17,TAB,4,FALSE)</f>
        <v>Реж
Реж</v>
      </c>
      <c r="D17" s="11" t="str">
        <f>VLOOKUP($A17,TAB,5,FALSE)</f>
        <v>Нива 2121</v>
      </c>
      <c r="E17" s="15" t="str">
        <f>VLOOKUP($A17,TAB,8,FALSE)</f>
        <v>DNF</v>
      </c>
      <c r="F17" s="26"/>
      <c r="G17" s="26">
        <f>VLOOKUP($A17,TAB,70,FALSE)</f>
        <v>20</v>
      </c>
      <c r="H17" s="26">
        <f>VLOOKUP($A17,TAB,101,FALSE)</f>
        <v>20</v>
      </c>
      <c r="I17" s="69"/>
      <c r="J17" s="70"/>
      <c r="K17" s="70"/>
      <c r="L17" s="70"/>
      <c r="M17" s="71"/>
      <c r="N17" s="70"/>
      <c r="O17" s="70"/>
      <c r="P17" s="70"/>
      <c r="Q17" s="25">
        <v>305</v>
      </c>
      <c r="R17" s="11" t="str">
        <f t="shared" si="0"/>
        <v>Коркодинов Андрей Игоревич
Ибрагимов Рамиль Зуфарович</v>
      </c>
      <c r="S17" s="11" t="str">
        <f t="shared" si="1"/>
        <v>Реж
Реж</v>
      </c>
      <c r="T17" s="11" t="str">
        <f t="shared" si="2"/>
        <v>Нива 2121</v>
      </c>
      <c r="U17" s="15">
        <f>VLOOKUP($Q17,TAB,22,FALSE)</f>
        <v>5.1070601851851858E-3</v>
      </c>
      <c r="V17" s="26">
        <f>VLOOKUP($Q17,TAB,52,FALSE)</f>
        <v>30</v>
      </c>
      <c r="W17" s="26">
        <f>VLOOKUP($Q17,TAB,84,FALSE)</f>
        <v>63</v>
      </c>
      <c r="X17" s="26">
        <f>VLOOKUP($Q17,TAB,115,FALSE)</f>
        <v>33</v>
      </c>
      <c r="Y17" s="15">
        <f>VLOOKUP($Q17,TAB,23,FALSE)</f>
        <v>0</v>
      </c>
      <c r="Z17" s="26">
        <f>VLOOKUP($Q17,TAB,53,FALSE)</f>
        <v>0</v>
      </c>
      <c r="AA17" s="26">
        <f>VLOOKUP($Q17,TAB,85,FALSE)</f>
        <v>0</v>
      </c>
      <c r="AB17" s="26">
        <f>VLOOKUP($Q17,TAB,116,FALSE)</f>
        <v>0</v>
      </c>
      <c r="AC17" s="15">
        <f t="shared" si="3"/>
        <v>0</v>
      </c>
      <c r="AD17" s="26">
        <f t="shared" si="4"/>
        <v>0</v>
      </c>
      <c r="AE17" s="26">
        <f t="shared" si="5"/>
        <v>0</v>
      </c>
      <c r="AF17" s="26">
        <f t="shared" si="6"/>
        <v>0</v>
      </c>
      <c r="AG17" s="15" t="str">
        <f t="shared" si="7"/>
        <v>DNF</v>
      </c>
      <c r="AH17" s="26">
        <f t="shared" si="8"/>
        <v>0</v>
      </c>
      <c r="AI17" s="26">
        <f t="shared" si="9"/>
        <v>20</v>
      </c>
      <c r="AJ17" s="26">
        <f t="shared" si="10"/>
        <v>20</v>
      </c>
      <c r="AK17" s="15">
        <f t="shared" si="11"/>
        <v>0</v>
      </c>
      <c r="AL17" s="26">
        <f t="shared" si="12"/>
        <v>0</v>
      </c>
      <c r="AM17" s="26">
        <f t="shared" si="13"/>
        <v>0</v>
      </c>
      <c r="AN17" s="26">
        <f t="shared" si="14"/>
        <v>0</v>
      </c>
      <c r="AO17" s="25">
        <v>305</v>
      </c>
      <c r="AP17" s="11" t="str">
        <f t="shared" si="15"/>
        <v>Коркодинов Андрей Игоревич
Ибрагимов Рамиль Зуфарович</v>
      </c>
      <c r="AQ17" s="11" t="str">
        <f t="shared" si="16"/>
        <v>Реж
Реж</v>
      </c>
      <c r="AR17" s="11">
        <f t="shared" si="17"/>
        <v>0</v>
      </c>
      <c r="AS17" s="15" t="str">
        <f t="shared" si="18"/>
        <v>DNF</v>
      </c>
      <c r="AT17" s="26">
        <f t="shared" si="19"/>
        <v>0</v>
      </c>
      <c r="AU17" s="26">
        <f t="shared" si="20"/>
        <v>20</v>
      </c>
      <c r="AV17" s="26">
        <f t="shared" si="21"/>
        <v>20</v>
      </c>
      <c r="AW17" s="15" t="str">
        <f t="shared" si="22"/>
        <v>DNF</v>
      </c>
      <c r="AX17" s="26">
        <f t="shared" si="23"/>
        <v>0</v>
      </c>
      <c r="AY17" s="26">
        <f t="shared" si="24"/>
        <v>20</v>
      </c>
      <c r="AZ17" s="26">
        <f t="shared" si="25"/>
        <v>20</v>
      </c>
      <c r="BA17" s="15">
        <f t="shared" si="26"/>
        <v>0</v>
      </c>
      <c r="BB17" s="26">
        <f t="shared" si="27"/>
        <v>0</v>
      </c>
      <c r="BC17" s="26">
        <f>VLOOKUP($AO17,TAB,91,FALSE)</f>
        <v>0</v>
      </c>
      <c r="BD17" s="26">
        <f t="shared" si="28"/>
        <v>0</v>
      </c>
      <c r="BE17" s="25">
        <v>305</v>
      </c>
      <c r="BF17" s="11" t="str">
        <f t="shared" si="29"/>
        <v>Коркодинов Андрей Игоревич
Ибрагимов Рамиль Зуфарович</v>
      </c>
      <c r="BG17" s="11" t="str">
        <f t="shared" si="30"/>
        <v>Реж
Реж</v>
      </c>
      <c r="BH17" s="11" t="str">
        <f t="shared" si="31"/>
        <v>Нива 2121</v>
      </c>
      <c r="BI17" s="15" t="str">
        <f t="shared" si="32"/>
        <v>DNF</v>
      </c>
      <c r="BJ17" s="26">
        <f t="shared" si="33"/>
        <v>0</v>
      </c>
      <c r="BK17" s="26">
        <f t="shared" si="34"/>
        <v>20</v>
      </c>
      <c r="BL17" s="26">
        <f t="shared" si="35"/>
        <v>20</v>
      </c>
      <c r="BM17" s="15" t="str">
        <f t="shared" si="36"/>
        <v>DNF</v>
      </c>
      <c r="BN17" s="26">
        <f t="shared" si="37"/>
        <v>0</v>
      </c>
      <c r="BO17" s="26">
        <f t="shared" si="38"/>
        <v>20</v>
      </c>
      <c r="BP17" s="26">
        <f t="shared" si="39"/>
        <v>20</v>
      </c>
      <c r="BQ17" s="15" t="str">
        <f t="shared" si="40"/>
        <v>DNF</v>
      </c>
      <c r="BR17" s="26">
        <f t="shared" si="41"/>
        <v>0</v>
      </c>
      <c r="BS17" s="26">
        <f t="shared" si="42"/>
        <v>20</v>
      </c>
      <c r="BT17" s="26">
        <f t="shared" si="43"/>
        <v>20</v>
      </c>
      <c r="BU17" s="25">
        <v>305</v>
      </c>
      <c r="BV17" s="11" t="str">
        <f t="shared" si="44"/>
        <v>Коркодинов Андрей Игоревич
Ибрагимов Рамиль Зуфарович</v>
      </c>
      <c r="BW17" s="11" t="str">
        <f t="shared" si="45"/>
        <v>Реж
Реж</v>
      </c>
      <c r="BX17" s="11" t="str">
        <f t="shared" si="46"/>
        <v>Нива 2121</v>
      </c>
      <c r="BY17" s="15" t="str">
        <f t="shared" si="47"/>
        <v>DNF</v>
      </c>
      <c r="BZ17" s="26">
        <f t="shared" si="48"/>
        <v>0</v>
      </c>
      <c r="CA17" s="26">
        <f t="shared" si="49"/>
        <v>20</v>
      </c>
      <c r="CB17" s="26">
        <f t="shared" si="50"/>
        <v>20</v>
      </c>
      <c r="CC17" s="15" t="str">
        <f t="shared" si="51"/>
        <v>DNF</v>
      </c>
      <c r="CD17" s="26">
        <f t="shared" si="52"/>
        <v>0</v>
      </c>
      <c r="CE17" s="26">
        <f t="shared" si="53"/>
        <v>20</v>
      </c>
      <c r="CF17" s="26">
        <f t="shared" si="54"/>
        <v>20</v>
      </c>
      <c r="CG17" s="15" t="str">
        <f t="shared" si="55"/>
        <v>DNF</v>
      </c>
      <c r="CH17" s="26">
        <f t="shared" si="56"/>
        <v>0</v>
      </c>
      <c r="CI17" s="26">
        <f t="shared" si="57"/>
        <v>20</v>
      </c>
      <c r="CJ17" s="26">
        <f t="shared" si="58"/>
        <v>20</v>
      </c>
      <c r="CK17" s="25">
        <v>305</v>
      </c>
      <c r="CL17" s="11" t="str">
        <f t="shared" si="59"/>
        <v>Коркодинов Андрей Игоревич
Ибрагимов Рамиль Зуфарович</v>
      </c>
      <c r="CM17" s="11" t="str">
        <f t="shared" si="60"/>
        <v>Реж
Реж</v>
      </c>
      <c r="CN17" s="11" t="str">
        <f t="shared" si="61"/>
        <v>Нива 2121</v>
      </c>
      <c r="CO17" s="15" t="str">
        <f t="shared" si="62"/>
        <v>DNF</v>
      </c>
      <c r="CP17" s="26">
        <f t="shared" si="63"/>
        <v>0</v>
      </c>
      <c r="CQ17" s="26">
        <f t="shared" si="64"/>
        <v>20</v>
      </c>
      <c r="CR17" s="26">
        <f t="shared" si="65"/>
        <v>20</v>
      </c>
      <c r="CS17" s="15" t="str">
        <f t="shared" si="66"/>
        <v>DNF</v>
      </c>
      <c r="CT17" s="26">
        <f t="shared" si="67"/>
        <v>0</v>
      </c>
      <c r="CU17" s="26">
        <f t="shared" si="68"/>
        <v>20</v>
      </c>
      <c r="CV17" s="26">
        <f t="shared" si="69"/>
        <v>20</v>
      </c>
      <c r="CW17" s="15">
        <f t="shared" si="70"/>
        <v>0</v>
      </c>
      <c r="CX17" s="26">
        <f t="shared" si="71"/>
        <v>0</v>
      </c>
      <c r="CY17" s="26">
        <f t="shared" si="72"/>
        <v>0</v>
      </c>
      <c r="CZ17" s="26">
        <f t="shared" si="73"/>
        <v>0</v>
      </c>
      <c r="DA17" s="11">
        <f t="shared" si="74"/>
        <v>273</v>
      </c>
    </row>
    <row r="18" spans="1:105" s="6" customFormat="1" ht="60" x14ac:dyDescent="0.25">
      <c r="A18" s="25">
        <v>306</v>
      </c>
      <c r="B18" s="11" t="str">
        <f>VLOOKUP($A18,TAB,2,FALSE)</f>
        <v>Маньков Игорь Анатольевич
Охотников Максим Дмитриевич</v>
      </c>
      <c r="C18" s="11" t="str">
        <f>VLOOKUP($A18,TAB,4,FALSE)</f>
        <v>Екатеринбург
Снежинск</v>
      </c>
      <c r="D18" s="11" t="str">
        <f>VLOOKUP($A18,TAB,5,FALSE)</f>
        <v>TLC 70</v>
      </c>
      <c r="E18" s="15">
        <f>VLOOKUP($A18,TAB,8,FALSE)</f>
        <v>8.3333333333333332E-3</v>
      </c>
      <c r="F18" s="26"/>
      <c r="G18" s="26">
        <f>VLOOKUP($A18,TAB,70,FALSE)</f>
        <v>100</v>
      </c>
      <c r="H18" s="26">
        <f>VLOOKUP($A18,TAB,101,FALSE)</f>
        <v>100</v>
      </c>
      <c r="I18" s="69"/>
      <c r="J18" s="70"/>
      <c r="K18" s="70"/>
      <c r="L18" s="70"/>
      <c r="M18" s="71"/>
      <c r="N18" s="70"/>
      <c r="O18" s="70"/>
      <c r="P18" s="70"/>
      <c r="Q18" s="25">
        <v>306</v>
      </c>
      <c r="R18" s="11" t="str">
        <f t="shared" si="0"/>
        <v>Маньков Игорь Анатольевич
Охотников Максим Дмитриевич</v>
      </c>
      <c r="S18" s="11" t="str">
        <f t="shared" si="1"/>
        <v>Екатеринбург
Снежинск</v>
      </c>
      <c r="T18" s="11" t="str">
        <f t="shared" si="2"/>
        <v>TLC 70</v>
      </c>
      <c r="U18" s="15">
        <f>VLOOKUP($Q18,TAB,22,FALSE)</f>
        <v>3.3120370370370369E-3</v>
      </c>
      <c r="V18" s="26">
        <f>VLOOKUP($Q18,TAB,52,FALSE)</f>
        <v>0</v>
      </c>
      <c r="W18" s="26">
        <f>VLOOKUP($Q18,TAB,84,FALSE)</f>
        <v>84</v>
      </c>
      <c r="X18" s="26">
        <f>VLOOKUP($Q18,TAB,115,FALSE)</f>
        <v>84</v>
      </c>
      <c r="Y18" s="15" t="str">
        <f>VLOOKUP($Q18,TAB,23,FALSE)</f>
        <v>DNF</v>
      </c>
      <c r="Z18" s="26">
        <f>VLOOKUP($Q18,TAB,53,FALSE)</f>
        <v>0</v>
      </c>
      <c r="AA18" s="26">
        <f>VLOOKUP($Q18,TAB,85,FALSE)</f>
        <v>20</v>
      </c>
      <c r="AB18" s="26">
        <f>VLOOKUP($Q18,TAB,116,FALSE)</f>
        <v>20</v>
      </c>
      <c r="AC18" s="15">
        <f t="shared" si="3"/>
        <v>0</v>
      </c>
      <c r="AD18" s="26">
        <f t="shared" si="4"/>
        <v>0</v>
      </c>
      <c r="AE18" s="26">
        <f t="shared" si="5"/>
        <v>0</v>
      </c>
      <c r="AF18" s="26">
        <f t="shared" si="6"/>
        <v>0</v>
      </c>
      <c r="AG18" s="15">
        <f t="shared" si="7"/>
        <v>4.0046296296296297E-3</v>
      </c>
      <c r="AH18" s="26">
        <f t="shared" si="8"/>
        <v>0</v>
      </c>
      <c r="AI18" s="26">
        <f t="shared" si="9"/>
        <v>66</v>
      </c>
      <c r="AJ18" s="26">
        <f t="shared" si="10"/>
        <v>66</v>
      </c>
      <c r="AK18" s="15">
        <f t="shared" si="11"/>
        <v>9.1030092592592586E-3</v>
      </c>
      <c r="AL18" s="26">
        <f t="shared" si="12"/>
        <v>0</v>
      </c>
      <c r="AM18" s="26">
        <f t="shared" si="13"/>
        <v>84</v>
      </c>
      <c r="AN18" s="26">
        <f t="shared" si="14"/>
        <v>84</v>
      </c>
      <c r="AO18" s="25">
        <v>306</v>
      </c>
      <c r="AP18" s="11" t="str">
        <f t="shared" si="15"/>
        <v>Маньков Игорь Анатольевич
Охотников Максим Дмитриевич</v>
      </c>
      <c r="AQ18" s="11" t="str">
        <f t="shared" si="16"/>
        <v>Екатеринбург
Снежинск</v>
      </c>
      <c r="AR18" s="11">
        <f t="shared" si="17"/>
        <v>0</v>
      </c>
      <c r="AS18" s="15">
        <f t="shared" si="18"/>
        <v>4.7800925925925919E-3</v>
      </c>
      <c r="AT18" s="26">
        <f t="shared" si="19"/>
        <v>20</v>
      </c>
      <c r="AU18" s="26">
        <f t="shared" si="20"/>
        <v>87</v>
      </c>
      <c r="AV18" s="26">
        <f t="shared" si="21"/>
        <v>67</v>
      </c>
      <c r="AW18" s="15">
        <f t="shared" si="22"/>
        <v>6.7129629629629622E-3</v>
      </c>
      <c r="AX18" s="26">
        <f t="shared" si="23"/>
        <v>0</v>
      </c>
      <c r="AY18" s="26">
        <f t="shared" si="24"/>
        <v>87</v>
      </c>
      <c r="AZ18" s="26">
        <f t="shared" si="25"/>
        <v>87</v>
      </c>
      <c r="BA18" s="15">
        <f t="shared" si="26"/>
        <v>3.5127314814814817E-3</v>
      </c>
      <c r="BB18" s="26">
        <f t="shared" si="27"/>
        <v>0</v>
      </c>
      <c r="BC18" s="26">
        <f>VLOOKUP($AO18,TAB,91,FALSE)</f>
        <v>95</v>
      </c>
      <c r="BD18" s="26">
        <f t="shared" si="28"/>
        <v>95</v>
      </c>
      <c r="BE18" s="25">
        <v>306</v>
      </c>
      <c r="BF18" s="11" t="str">
        <f t="shared" si="29"/>
        <v>Маньков Игорь Анатольевич
Охотников Максим Дмитриевич</v>
      </c>
      <c r="BG18" s="11" t="str">
        <f t="shared" si="30"/>
        <v>Екатеринбург
Снежинск</v>
      </c>
      <c r="BH18" s="11" t="str">
        <f t="shared" si="31"/>
        <v>TLC 70</v>
      </c>
      <c r="BI18" s="15">
        <f t="shared" si="32"/>
        <v>9.7663194444444438E-3</v>
      </c>
      <c r="BJ18" s="26">
        <f t="shared" si="33"/>
        <v>0</v>
      </c>
      <c r="BK18" s="26">
        <f t="shared" si="34"/>
        <v>87</v>
      </c>
      <c r="BL18" s="26">
        <f t="shared" si="35"/>
        <v>87</v>
      </c>
      <c r="BM18" s="15">
        <f t="shared" si="36"/>
        <v>6.0528935185185173E-3</v>
      </c>
      <c r="BN18" s="26">
        <f t="shared" si="37"/>
        <v>0</v>
      </c>
      <c r="BO18" s="26">
        <f t="shared" si="38"/>
        <v>69</v>
      </c>
      <c r="BP18" s="26">
        <f t="shared" si="39"/>
        <v>69</v>
      </c>
      <c r="BQ18" s="15">
        <f t="shared" si="40"/>
        <v>1.7600694444444443E-3</v>
      </c>
      <c r="BR18" s="26">
        <f t="shared" si="41"/>
        <v>0</v>
      </c>
      <c r="BS18" s="26">
        <f t="shared" si="42"/>
        <v>87</v>
      </c>
      <c r="BT18" s="26">
        <f t="shared" si="43"/>
        <v>87</v>
      </c>
      <c r="BU18" s="25">
        <v>306</v>
      </c>
      <c r="BV18" s="11" t="str">
        <f t="shared" si="44"/>
        <v>Маньков Игорь Анатольевич
Охотников Максим Дмитриевич</v>
      </c>
      <c r="BW18" s="11" t="str">
        <f t="shared" si="45"/>
        <v>Екатеринбург
Снежинск</v>
      </c>
      <c r="BX18" s="11" t="str">
        <f t="shared" si="46"/>
        <v>TLC 70</v>
      </c>
      <c r="BY18" s="15">
        <f t="shared" si="47"/>
        <v>8.8773148148148153E-3</v>
      </c>
      <c r="BZ18" s="26">
        <f t="shared" si="48"/>
        <v>0</v>
      </c>
      <c r="CA18" s="26">
        <f t="shared" si="49"/>
        <v>84</v>
      </c>
      <c r="CB18" s="26">
        <f t="shared" si="50"/>
        <v>84</v>
      </c>
      <c r="CC18" s="15">
        <f t="shared" si="51"/>
        <v>2.7083333333333334E-3</v>
      </c>
      <c r="CD18" s="26">
        <f t="shared" si="52"/>
        <v>0</v>
      </c>
      <c r="CE18" s="26">
        <f t="shared" si="53"/>
        <v>75</v>
      </c>
      <c r="CF18" s="26">
        <f t="shared" si="54"/>
        <v>75</v>
      </c>
      <c r="CG18" s="15">
        <f t="shared" si="55"/>
        <v>3.2638888888888891E-3</v>
      </c>
      <c r="CH18" s="26">
        <f t="shared" si="56"/>
        <v>0</v>
      </c>
      <c r="CI18" s="26">
        <f t="shared" si="57"/>
        <v>95</v>
      </c>
      <c r="CJ18" s="26">
        <f t="shared" si="58"/>
        <v>95</v>
      </c>
      <c r="CK18" s="25">
        <v>306</v>
      </c>
      <c r="CL18" s="11" t="str">
        <f t="shared" si="59"/>
        <v>Маньков Игорь Анатольевич
Охотников Максим Дмитриевич</v>
      </c>
      <c r="CM18" s="11" t="str">
        <f t="shared" si="60"/>
        <v>Екатеринбург
Снежинск</v>
      </c>
      <c r="CN18" s="11" t="str">
        <f t="shared" si="61"/>
        <v>TLC 70</v>
      </c>
      <c r="CO18" s="15">
        <f t="shared" si="62"/>
        <v>3.9699074074074072E-3</v>
      </c>
      <c r="CP18" s="26">
        <f t="shared" si="63"/>
        <v>0</v>
      </c>
      <c r="CQ18" s="26">
        <f t="shared" si="64"/>
        <v>90</v>
      </c>
      <c r="CR18" s="26">
        <f t="shared" si="65"/>
        <v>90</v>
      </c>
      <c r="CS18" s="15" t="str">
        <f t="shared" si="66"/>
        <v>DNF</v>
      </c>
      <c r="CT18" s="26">
        <f t="shared" si="67"/>
        <v>0</v>
      </c>
      <c r="CU18" s="26">
        <f t="shared" si="68"/>
        <v>20</v>
      </c>
      <c r="CV18" s="26">
        <f t="shared" si="69"/>
        <v>20</v>
      </c>
      <c r="CW18" s="15">
        <f t="shared" si="70"/>
        <v>0</v>
      </c>
      <c r="CX18" s="26">
        <f t="shared" si="71"/>
        <v>0</v>
      </c>
      <c r="CY18" s="26">
        <f t="shared" si="72"/>
        <v>0</v>
      </c>
      <c r="CZ18" s="26">
        <f t="shared" si="73"/>
        <v>0</v>
      </c>
      <c r="DA18" s="11">
        <f t="shared" si="74"/>
        <v>1210</v>
      </c>
    </row>
    <row r="19" spans="1:105" s="6" customFormat="1" ht="60" x14ac:dyDescent="0.25">
      <c r="A19" s="25">
        <v>307</v>
      </c>
      <c r="B19" s="11" t="str">
        <f>VLOOKUP($A19,TAB,2,FALSE)</f>
        <v>Мякишев Егор Алексеевич
Харламов Евгений Сергеевич</v>
      </c>
      <c r="C19" s="11" t="str">
        <f>VLOOKUP($A19,TAB,4,FALSE)</f>
        <v>Невьянск
Екатеринбург</v>
      </c>
      <c r="D19" s="11" t="str">
        <f>VLOOKUP($A19,TAB,5,FALSE)</f>
        <v>Suzuki Jimny</v>
      </c>
      <c r="E19" s="15" t="str">
        <f>VLOOKUP($A19,TAB,8,FALSE)</f>
        <v>DNF</v>
      </c>
      <c r="F19" s="26"/>
      <c r="G19" s="26">
        <f>VLOOKUP($A19,TAB,70,FALSE)</f>
        <v>20</v>
      </c>
      <c r="H19" s="26">
        <f>VLOOKUP($A19,TAB,101,FALSE)</f>
        <v>20</v>
      </c>
      <c r="I19" s="69"/>
      <c r="J19" s="70"/>
      <c r="K19" s="70"/>
      <c r="L19" s="70"/>
      <c r="M19" s="71"/>
      <c r="N19" s="70"/>
      <c r="O19" s="70"/>
      <c r="P19" s="70"/>
      <c r="Q19" s="25">
        <v>307</v>
      </c>
      <c r="R19" s="11" t="str">
        <f t="shared" si="0"/>
        <v>Мякишев Егор Алексеевич
Харламов Евгений Сергеевич</v>
      </c>
      <c r="S19" s="11" t="str">
        <f t="shared" si="1"/>
        <v>Невьянск
Екатеринбург</v>
      </c>
      <c r="T19" s="11" t="str">
        <f t="shared" si="2"/>
        <v>Suzuki Jimny</v>
      </c>
      <c r="U19" s="15">
        <f>VLOOKUP($Q19,TAB,22,FALSE)</f>
        <v>0</v>
      </c>
      <c r="V19" s="26">
        <f>VLOOKUP($Q19,TAB,52,FALSE)</f>
        <v>0</v>
      </c>
      <c r="W19" s="26">
        <f>VLOOKUP($Q19,TAB,84,FALSE)</f>
        <v>0</v>
      </c>
      <c r="X19" s="26">
        <f>VLOOKUP($Q19,TAB,115,FALSE)</f>
        <v>0</v>
      </c>
      <c r="Y19" s="15">
        <f>VLOOKUP($Q19,TAB,23,FALSE)</f>
        <v>0</v>
      </c>
      <c r="Z19" s="26">
        <f>VLOOKUP($Q19,TAB,53,FALSE)</f>
        <v>0</v>
      </c>
      <c r="AA19" s="26">
        <f>VLOOKUP($Q19,TAB,85,FALSE)</f>
        <v>0</v>
      </c>
      <c r="AB19" s="26">
        <f>VLOOKUP($Q19,TAB,116,FALSE)</f>
        <v>0</v>
      </c>
      <c r="AC19" s="15">
        <f t="shared" si="3"/>
        <v>9.3749999999999997E-3</v>
      </c>
      <c r="AD19" s="26">
        <f t="shared" si="4"/>
        <v>10</v>
      </c>
      <c r="AE19" s="26">
        <f t="shared" si="5"/>
        <v>90</v>
      </c>
      <c r="AF19" s="26">
        <f t="shared" si="6"/>
        <v>80</v>
      </c>
      <c r="AG19" s="15">
        <f t="shared" si="7"/>
        <v>4.8032407407407407E-3</v>
      </c>
      <c r="AH19" s="26">
        <f t="shared" si="8"/>
        <v>0</v>
      </c>
      <c r="AI19" s="26">
        <f t="shared" si="9"/>
        <v>60</v>
      </c>
      <c r="AJ19" s="26">
        <f t="shared" si="10"/>
        <v>60</v>
      </c>
      <c r="AK19" s="15">
        <f t="shared" si="11"/>
        <v>5.9262731481481484E-3</v>
      </c>
      <c r="AL19" s="26">
        <f t="shared" si="12"/>
        <v>0</v>
      </c>
      <c r="AM19" s="26">
        <f t="shared" si="13"/>
        <v>90</v>
      </c>
      <c r="AN19" s="26">
        <f t="shared" si="14"/>
        <v>90</v>
      </c>
      <c r="AO19" s="25">
        <v>307</v>
      </c>
      <c r="AP19" s="11" t="str">
        <f t="shared" si="15"/>
        <v>Мякишев Егор Алексеевич
Харламов Евгений Сергеевич</v>
      </c>
      <c r="AQ19" s="11" t="str">
        <f t="shared" si="16"/>
        <v>Невьянск
Екатеринбург</v>
      </c>
      <c r="AR19" s="11" t="str">
        <f t="shared" si="17"/>
        <v>186683
183635</v>
      </c>
      <c r="AS19" s="15">
        <f t="shared" si="18"/>
        <v>0</v>
      </c>
      <c r="AT19" s="26">
        <f t="shared" si="19"/>
        <v>0</v>
      </c>
      <c r="AU19" s="26">
        <f t="shared" si="20"/>
        <v>0</v>
      </c>
      <c r="AV19" s="26">
        <f t="shared" si="21"/>
        <v>0</v>
      </c>
      <c r="AW19" s="15">
        <f t="shared" si="22"/>
        <v>6.9328703703703696E-3</v>
      </c>
      <c r="AX19" s="26">
        <f t="shared" si="23"/>
        <v>0</v>
      </c>
      <c r="AY19" s="26">
        <f t="shared" si="24"/>
        <v>84</v>
      </c>
      <c r="AZ19" s="26">
        <f t="shared" si="25"/>
        <v>84</v>
      </c>
      <c r="BA19" s="15">
        <f t="shared" si="26"/>
        <v>0</v>
      </c>
      <c r="BB19" s="26">
        <f t="shared" si="27"/>
        <v>0</v>
      </c>
      <c r="BC19" s="26">
        <f>VLOOKUP($AO19,TAB,91,FALSE)</f>
        <v>0</v>
      </c>
      <c r="BD19" s="26">
        <f t="shared" si="28"/>
        <v>0</v>
      </c>
      <c r="BE19" s="25">
        <v>307</v>
      </c>
      <c r="BF19" s="11" t="str">
        <f t="shared" si="29"/>
        <v>Мякишев Егор Алексеевич
Харламов Евгений Сергеевич</v>
      </c>
      <c r="BG19" s="11" t="str">
        <f t="shared" si="30"/>
        <v>Невьянск
Екатеринбург</v>
      </c>
      <c r="BH19" s="11" t="str">
        <f t="shared" si="31"/>
        <v>Suzuki Jimny</v>
      </c>
      <c r="BI19" s="15">
        <f t="shared" si="32"/>
        <v>8.3001157407407416E-3</v>
      </c>
      <c r="BJ19" s="26">
        <f t="shared" si="33"/>
        <v>0</v>
      </c>
      <c r="BK19" s="26">
        <f t="shared" si="34"/>
        <v>95</v>
      </c>
      <c r="BL19" s="26">
        <f t="shared" si="35"/>
        <v>95</v>
      </c>
      <c r="BM19" s="15">
        <f t="shared" si="36"/>
        <v>3.6209490740740737E-3</v>
      </c>
      <c r="BN19" s="26">
        <f t="shared" si="37"/>
        <v>0</v>
      </c>
      <c r="BO19" s="26">
        <f t="shared" si="38"/>
        <v>75</v>
      </c>
      <c r="BP19" s="26">
        <f t="shared" si="39"/>
        <v>75</v>
      </c>
      <c r="BQ19" s="15">
        <f t="shared" si="40"/>
        <v>1.4037037037037037E-3</v>
      </c>
      <c r="BR19" s="26">
        <f t="shared" si="41"/>
        <v>0</v>
      </c>
      <c r="BS19" s="26">
        <f t="shared" si="42"/>
        <v>90</v>
      </c>
      <c r="BT19" s="26">
        <f t="shared" si="43"/>
        <v>90</v>
      </c>
      <c r="BU19" s="25">
        <v>307</v>
      </c>
      <c r="BV19" s="11" t="str">
        <f t="shared" si="44"/>
        <v>Мякишев Егор Алексеевич
Харламов Евгений Сергеевич</v>
      </c>
      <c r="BW19" s="11" t="str">
        <f t="shared" si="45"/>
        <v>Невьянск
Екатеринбург</v>
      </c>
      <c r="BX19" s="11" t="str">
        <f t="shared" si="46"/>
        <v>Suzuki Jimny</v>
      </c>
      <c r="BY19" s="15" t="str">
        <f t="shared" si="47"/>
        <v>DNF</v>
      </c>
      <c r="BZ19" s="26">
        <f t="shared" si="48"/>
        <v>0</v>
      </c>
      <c r="CA19" s="26">
        <f t="shared" si="49"/>
        <v>20</v>
      </c>
      <c r="CB19" s="26">
        <f t="shared" si="50"/>
        <v>20</v>
      </c>
      <c r="CC19" s="15">
        <f t="shared" si="51"/>
        <v>4.1435185185185186E-3</v>
      </c>
      <c r="CD19" s="26">
        <f t="shared" si="52"/>
        <v>0</v>
      </c>
      <c r="CE19" s="26">
        <f t="shared" si="53"/>
        <v>69</v>
      </c>
      <c r="CF19" s="26">
        <f t="shared" si="54"/>
        <v>69</v>
      </c>
      <c r="CG19" s="15">
        <f t="shared" si="55"/>
        <v>0</v>
      </c>
      <c r="CH19" s="26">
        <f t="shared" si="56"/>
        <v>0</v>
      </c>
      <c r="CI19" s="26">
        <f t="shared" si="57"/>
        <v>0</v>
      </c>
      <c r="CJ19" s="26">
        <f t="shared" si="58"/>
        <v>0</v>
      </c>
      <c r="CK19" s="25">
        <v>307</v>
      </c>
      <c r="CL19" s="11" t="str">
        <f t="shared" si="59"/>
        <v>Мякишев Егор Алексеевич
Харламов Евгений Сергеевич</v>
      </c>
      <c r="CM19" s="11" t="str">
        <f t="shared" si="60"/>
        <v>Невьянск
Екатеринбург</v>
      </c>
      <c r="CN19" s="11" t="str">
        <f t="shared" si="61"/>
        <v>Suzuki Jimny</v>
      </c>
      <c r="CO19" s="15" t="str">
        <f t="shared" si="62"/>
        <v>DNF</v>
      </c>
      <c r="CP19" s="26">
        <f t="shared" si="63"/>
        <v>0</v>
      </c>
      <c r="CQ19" s="26">
        <f t="shared" si="64"/>
        <v>20</v>
      </c>
      <c r="CR19" s="26">
        <f t="shared" si="65"/>
        <v>20</v>
      </c>
      <c r="CS19" s="15" t="str">
        <f t="shared" si="66"/>
        <v>DNF</v>
      </c>
      <c r="CT19" s="26">
        <f t="shared" si="67"/>
        <v>0</v>
      </c>
      <c r="CU19" s="26">
        <f t="shared" si="68"/>
        <v>20</v>
      </c>
      <c r="CV19" s="26">
        <f t="shared" si="69"/>
        <v>20</v>
      </c>
      <c r="CW19" s="15">
        <f t="shared" si="70"/>
        <v>0</v>
      </c>
      <c r="CX19" s="26">
        <f t="shared" si="71"/>
        <v>0</v>
      </c>
      <c r="CY19" s="26">
        <f t="shared" si="72"/>
        <v>0</v>
      </c>
      <c r="CZ19" s="26">
        <f t="shared" si="73"/>
        <v>0</v>
      </c>
      <c r="DA19" s="11">
        <f t="shared" si="74"/>
        <v>723</v>
      </c>
    </row>
    <row r="20" spans="1:105" s="6" customFormat="1" ht="60" x14ac:dyDescent="0.25">
      <c r="A20" s="25">
        <v>308</v>
      </c>
      <c r="B20" s="11" t="str">
        <f>VLOOKUP($A20,TAB,2,FALSE)</f>
        <v>Нигматуллин Ильшат Ришатович
Чуманов Сергей Владимирович</v>
      </c>
      <c r="C20" s="11" t="str">
        <f>VLOOKUP($A20,TAB,4,FALSE)</f>
        <v>Уфа
Уфа</v>
      </c>
      <c r="D20" s="11" t="str">
        <f>VLOOKUP($A20,TAB,5,FALSE)</f>
        <v>ВАЗ 21214</v>
      </c>
      <c r="E20" s="15">
        <f>VLOOKUP($A20,TAB,8,FALSE)</f>
        <v>1.4074074074074074E-2</v>
      </c>
      <c r="F20" s="26"/>
      <c r="G20" s="26">
        <f>VLOOKUP($A20,TAB,70,FALSE)</f>
        <v>75</v>
      </c>
      <c r="H20" s="26">
        <f>VLOOKUP($A20,TAB,101,FALSE)</f>
        <v>75</v>
      </c>
      <c r="I20" s="69"/>
      <c r="J20" s="70"/>
      <c r="K20" s="70"/>
      <c r="L20" s="70"/>
      <c r="M20" s="71"/>
      <c r="N20" s="70"/>
      <c r="O20" s="70"/>
      <c r="P20" s="70"/>
      <c r="Q20" s="25">
        <v>308</v>
      </c>
      <c r="R20" s="11" t="str">
        <f t="shared" si="0"/>
        <v>Нигматуллин Ильшат Ришатович
Чуманов Сергей Владимирович</v>
      </c>
      <c r="S20" s="11" t="str">
        <f t="shared" si="1"/>
        <v>Уфа
Уфа</v>
      </c>
      <c r="T20" s="11" t="str">
        <f t="shared" si="2"/>
        <v>ВАЗ 21214</v>
      </c>
      <c r="U20" s="15">
        <f>VLOOKUP($Q20,TAB,22,FALSE)</f>
        <v>9.8025462962962953E-3</v>
      </c>
      <c r="V20" s="26">
        <f>VLOOKUP($Q20,TAB,52,FALSE)</f>
        <v>0</v>
      </c>
      <c r="W20" s="26">
        <f>VLOOKUP($Q20,TAB,84,FALSE)</f>
        <v>58</v>
      </c>
      <c r="X20" s="26">
        <f>VLOOKUP($Q20,TAB,115,FALSE)</f>
        <v>58</v>
      </c>
      <c r="Y20" s="15">
        <f>VLOOKUP($Q20,TAB,23,FALSE)</f>
        <v>2.7893518518518519E-3</v>
      </c>
      <c r="Z20" s="26">
        <f>VLOOKUP($Q20,TAB,53,FALSE)</f>
        <v>0</v>
      </c>
      <c r="AA20" s="26">
        <f>VLOOKUP($Q20,TAB,85,FALSE)</f>
        <v>100</v>
      </c>
      <c r="AB20" s="26">
        <f>VLOOKUP($Q20,TAB,116,FALSE)</f>
        <v>100</v>
      </c>
      <c r="AC20" s="15">
        <f t="shared" si="3"/>
        <v>3.7037037037037034E-3</v>
      </c>
      <c r="AD20" s="26">
        <f t="shared" si="4"/>
        <v>0</v>
      </c>
      <c r="AE20" s="26">
        <f t="shared" si="5"/>
        <v>100</v>
      </c>
      <c r="AF20" s="26">
        <f t="shared" si="6"/>
        <v>100</v>
      </c>
      <c r="AG20" s="15">
        <f t="shared" si="7"/>
        <v>1.6782407407407406E-3</v>
      </c>
      <c r="AH20" s="26">
        <f t="shared" si="8"/>
        <v>0</v>
      </c>
      <c r="AI20" s="26">
        <f t="shared" si="9"/>
        <v>95</v>
      </c>
      <c r="AJ20" s="26">
        <f t="shared" si="10"/>
        <v>95</v>
      </c>
      <c r="AK20" s="15">
        <f t="shared" si="11"/>
        <v>4.8259259259259262E-3</v>
      </c>
      <c r="AL20" s="26">
        <f t="shared" si="12"/>
        <v>10</v>
      </c>
      <c r="AM20" s="26">
        <f t="shared" si="13"/>
        <v>100</v>
      </c>
      <c r="AN20" s="26">
        <f t="shared" si="14"/>
        <v>90</v>
      </c>
      <c r="AO20" s="25">
        <v>308</v>
      </c>
      <c r="AP20" s="11" t="str">
        <f t="shared" si="15"/>
        <v>Нигматуллин Ильшат Ришатович
Чуманов Сергей Владимирович</v>
      </c>
      <c r="AQ20" s="11" t="str">
        <f t="shared" si="16"/>
        <v>Уфа
Уфа</v>
      </c>
      <c r="AR20" s="11" t="str">
        <f t="shared" si="17"/>
        <v>185356</v>
      </c>
      <c r="AS20" s="15">
        <f t="shared" si="18"/>
        <v>5.1736111111111115E-3</v>
      </c>
      <c r="AT20" s="26">
        <f t="shared" si="19"/>
        <v>10</v>
      </c>
      <c r="AU20" s="26">
        <f t="shared" si="20"/>
        <v>84</v>
      </c>
      <c r="AV20" s="26">
        <f t="shared" si="21"/>
        <v>74</v>
      </c>
      <c r="AW20" s="15">
        <f t="shared" si="22"/>
        <v>8.7037037037037031E-3</v>
      </c>
      <c r="AX20" s="26">
        <f t="shared" si="23"/>
        <v>0</v>
      </c>
      <c r="AY20" s="26">
        <f t="shared" si="24"/>
        <v>81</v>
      </c>
      <c r="AZ20" s="26">
        <f t="shared" si="25"/>
        <v>81</v>
      </c>
      <c r="BA20" s="15">
        <f t="shared" si="26"/>
        <v>0</v>
      </c>
      <c r="BB20" s="26">
        <f t="shared" si="27"/>
        <v>0</v>
      </c>
      <c r="BC20" s="26">
        <f>VLOOKUP($AO20,TAB,91,FALSE)</f>
        <v>0</v>
      </c>
      <c r="BD20" s="26">
        <f t="shared" si="28"/>
        <v>0</v>
      </c>
      <c r="BE20" s="25">
        <v>308</v>
      </c>
      <c r="BF20" s="11" t="str">
        <f t="shared" si="29"/>
        <v>Нигматуллин Ильшат Ришатович
Чуманов Сергей Владимирович</v>
      </c>
      <c r="BG20" s="11" t="str">
        <f t="shared" si="30"/>
        <v>Уфа
Уфа</v>
      </c>
      <c r="BH20" s="11" t="str">
        <f t="shared" si="31"/>
        <v>ВАЗ 21214</v>
      </c>
      <c r="BI20" s="15">
        <f t="shared" si="32"/>
        <v>8.9799768518518518E-3</v>
      </c>
      <c r="BJ20" s="26">
        <f t="shared" si="33"/>
        <v>0</v>
      </c>
      <c r="BK20" s="26">
        <f t="shared" si="34"/>
        <v>90</v>
      </c>
      <c r="BL20" s="26">
        <f t="shared" si="35"/>
        <v>90</v>
      </c>
      <c r="BM20" s="15">
        <f t="shared" si="36"/>
        <v>2.5212962962962962E-3</v>
      </c>
      <c r="BN20" s="26">
        <f t="shared" si="37"/>
        <v>0</v>
      </c>
      <c r="BO20" s="26">
        <f t="shared" si="38"/>
        <v>90</v>
      </c>
      <c r="BP20" s="26">
        <f t="shared" si="39"/>
        <v>90</v>
      </c>
      <c r="BQ20" s="15">
        <f t="shared" si="40"/>
        <v>9.523148148148148E-4</v>
      </c>
      <c r="BR20" s="26">
        <f t="shared" si="41"/>
        <v>0</v>
      </c>
      <c r="BS20" s="26">
        <f t="shared" si="42"/>
        <v>100</v>
      </c>
      <c r="BT20" s="26">
        <f t="shared" si="43"/>
        <v>100</v>
      </c>
      <c r="BU20" s="25">
        <v>308</v>
      </c>
      <c r="BV20" s="11" t="str">
        <f t="shared" si="44"/>
        <v>Нигматуллин Ильшат Ришатович
Чуманов Сергей Владимирович</v>
      </c>
      <c r="BW20" s="11" t="str">
        <f t="shared" si="45"/>
        <v>Уфа
Уфа</v>
      </c>
      <c r="BX20" s="11" t="str">
        <f t="shared" si="46"/>
        <v>ВАЗ 21214</v>
      </c>
      <c r="BY20" s="15">
        <f t="shared" si="47"/>
        <v>5.8564814814814825E-3</v>
      </c>
      <c r="BZ20" s="26">
        <f t="shared" si="48"/>
        <v>10</v>
      </c>
      <c r="CA20" s="26">
        <f t="shared" si="49"/>
        <v>90</v>
      </c>
      <c r="CB20" s="26">
        <f t="shared" si="50"/>
        <v>80</v>
      </c>
      <c r="CC20" s="15">
        <f t="shared" si="51"/>
        <v>1.2731481481481483E-3</v>
      </c>
      <c r="CD20" s="26">
        <f t="shared" si="52"/>
        <v>0</v>
      </c>
      <c r="CE20" s="26">
        <f t="shared" si="53"/>
        <v>90</v>
      </c>
      <c r="CF20" s="26">
        <f t="shared" si="54"/>
        <v>90</v>
      </c>
      <c r="CG20" s="15">
        <f t="shared" si="55"/>
        <v>5.7291666666666671E-3</v>
      </c>
      <c r="CH20" s="26">
        <f t="shared" si="56"/>
        <v>0</v>
      </c>
      <c r="CI20" s="26">
        <f t="shared" si="57"/>
        <v>87</v>
      </c>
      <c r="CJ20" s="26">
        <f t="shared" si="58"/>
        <v>87</v>
      </c>
      <c r="CK20" s="25">
        <v>308</v>
      </c>
      <c r="CL20" s="11" t="str">
        <f t="shared" si="59"/>
        <v>Нигматуллин Ильшат Ришатович
Чуманов Сергей Владимирович</v>
      </c>
      <c r="CM20" s="11" t="str">
        <f t="shared" si="60"/>
        <v>Уфа
Уфа</v>
      </c>
      <c r="CN20" s="11" t="str">
        <f t="shared" si="61"/>
        <v>ВАЗ 21214</v>
      </c>
      <c r="CO20" s="15">
        <f t="shared" si="62"/>
        <v>3.4490740740740745E-3</v>
      </c>
      <c r="CP20" s="26">
        <f t="shared" si="63"/>
        <v>0</v>
      </c>
      <c r="CQ20" s="26">
        <f t="shared" si="64"/>
        <v>95</v>
      </c>
      <c r="CR20" s="26">
        <f t="shared" si="65"/>
        <v>95</v>
      </c>
      <c r="CS20" s="15">
        <f t="shared" si="66"/>
        <v>0</v>
      </c>
      <c r="CT20" s="26">
        <f t="shared" si="67"/>
        <v>0</v>
      </c>
      <c r="CU20" s="26">
        <f t="shared" si="68"/>
        <v>0</v>
      </c>
      <c r="CV20" s="26">
        <f t="shared" si="69"/>
        <v>0</v>
      </c>
      <c r="CW20" s="15">
        <f t="shared" si="70"/>
        <v>0</v>
      </c>
      <c r="CX20" s="26">
        <f t="shared" si="71"/>
        <v>0</v>
      </c>
      <c r="CY20" s="26">
        <f t="shared" si="72"/>
        <v>0</v>
      </c>
      <c r="CZ20" s="26">
        <f t="shared" si="73"/>
        <v>0</v>
      </c>
      <c r="DA20" s="11">
        <f t="shared" si="74"/>
        <v>1305</v>
      </c>
    </row>
    <row r="21" spans="1:105" s="6" customFormat="1" ht="60" x14ac:dyDescent="0.25">
      <c r="A21" s="25">
        <v>309</v>
      </c>
      <c r="B21" s="11" t="str">
        <f>VLOOKUP($A21,TAB,2,FALSE)</f>
        <v>Павлов Алексей Сергеевич
Чернов Анатолий Михайлович</v>
      </c>
      <c r="C21" s="11" t="str">
        <f>VLOOKUP($A21,TAB,4,FALSE)</f>
        <v>Юргамыш
Юргамыш</v>
      </c>
      <c r="D21" s="11" t="str">
        <f>VLOOKUP($A21,TAB,5,FALSE)</f>
        <v>УАЗ 469</v>
      </c>
      <c r="E21" s="15" t="str">
        <f>VLOOKUP($A21,TAB,8,FALSE)</f>
        <v>DNF</v>
      </c>
      <c r="F21" s="26"/>
      <c r="G21" s="26">
        <f>VLOOKUP($A21,TAB,70,FALSE)</f>
        <v>20</v>
      </c>
      <c r="H21" s="26">
        <f>VLOOKUP($A21,TAB,101,FALSE)</f>
        <v>20</v>
      </c>
      <c r="I21" s="69"/>
      <c r="J21" s="70"/>
      <c r="K21" s="70"/>
      <c r="L21" s="70"/>
      <c r="M21" s="71"/>
      <c r="N21" s="70"/>
      <c r="O21" s="70"/>
      <c r="P21" s="70"/>
      <c r="Q21" s="25">
        <v>309</v>
      </c>
      <c r="R21" s="11" t="str">
        <f t="shared" si="0"/>
        <v>Павлов Алексей Сергеевич
Чернов Анатолий Михайлович</v>
      </c>
      <c r="S21" s="11" t="str">
        <f t="shared" si="1"/>
        <v>Юргамыш
Юргамыш</v>
      </c>
      <c r="T21" s="11" t="str">
        <f t="shared" si="2"/>
        <v>УАЗ 469</v>
      </c>
      <c r="U21" s="15">
        <f>VLOOKUP($Q21,TAB,22,FALSE)</f>
        <v>0</v>
      </c>
      <c r="V21" s="26">
        <f>VLOOKUP($Q21,TAB,52,FALSE)</f>
        <v>0</v>
      </c>
      <c r="W21" s="26">
        <f>VLOOKUP($Q21,TAB,84,FALSE)</f>
        <v>0</v>
      </c>
      <c r="X21" s="26">
        <f>VLOOKUP($Q21,TAB,115,FALSE)</f>
        <v>0</v>
      </c>
      <c r="Y21" s="15">
        <f>VLOOKUP($Q21,TAB,23,FALSE)</f>
        <v>0</v>
      </c>
      <c r="Z21" s="26">
        <f>VLOOKUP($Q21,TAB,53,FALSE)</f>
        <v>0</v>
      </c>
      <c r="AA21" s="26">
        <f>VLOOKUP($Q21,TAB,85,FALSE)</f>
        <v>0</v>
      </c>
      <c r="AB21" s="26">
        <f>VLOOKUP($Q21,TAB,116,FALSE)</f>
        <v>0</v>
      </c>
      <c r="AC21" s="15">
        <f t="shared" si="3"/>
        <v>0</v>
      </c>
      <c r="AD21" s="26">
        <f t="shared" si="4"/>
        <v>0</v>
      </c>
      <c r="AE21" s="26">
        <f t="shared" si="5"/>
        <v>0</v>
      </c>
      <c r="AF21" s="26">
        <f t="shared" si="6"/>
        <v>0</v>
      </c>
      <c r="AG21" s="15">
        <f t="shared" si="7"/>
        <v>4.2824074074074075E-3</v>
      </c>
      <c r="AH21" s="26">
        <f t="shared" si="8"/>
        <v>0</v>
      </c>
      <c r="AI21" s="26">
        <f t="shared" si="9"/>
        <v>63</v>
      </c>
      <c r="AJ21" s="26">
        <f t="shared" si="10"/>
        <v>63</v>
      </c>
      <c r="AK21" s="15">
        <f t="shared" si="11"/>
        <v>0</v>
      </c>
      <c r="AL21" s="26">
        <f t="shared" si="12"/>
        <v>0</v>
      </c>
      <c r="AM21" s="26">
        <f t="shared" si="13"/>
        <v>0</v>
      </c>
      <c r="AN21" s="26">
        <f t="shared" si="14"/>
        <v>0</v>
      </c>
      <c r="AO21" s="25">
        <v>309</v>
      </c>
      <c r="AP21" s="11" t="str">
        <f t="shared" si="15"/>
        <v>Павлов Алексей Сергеевич
Чернов Анатолий Михайлович</v>
      </c>
      <c r="AQ21" s="11" t="str">
        <f t="shared" si="16"/>
        <v>Юргамыш
Юргамыш</v>
      </c>
      <c r="AR21" s="11">
        <f t="shared" si="17"/>
        <v>0</v>
      </c>
      <c r="AS21" s="15">
        <f t="shared" si="18"/>
        <v>0</v>
      </c>
      <c r="AT21" s="26">
        <f t="shared" si="19"/>
        <v>0</v>
      </c>
      <c r="AU21" s="26">
        <f t="shared" si="20"/>
        <v>0</v>
      </c>
      <c r="AV21" s="26">
        <f t="shared" si="21"/>
        <v>0</v>
      </c>
      <c r="AW21" s="15">
        <f t="shared" si="22"/>
        <v>0</v>
      </c>
      <c r="AX21" s="26">
        <f t="shared" si="23"/>
        <v>0</v>
      </c>
      <c r="AY21" s="26">
        <f t="shared" si="24"/>
        <v>0</v>
      </c>
      <c r="AZ21" s="26">
        <f t="shared" si="25"/>
        <v>0</v>
      </c>
      <c r="BA21" s="15">
        <f t="shared" si="26"/>
        <v>0</v>
      </c>
      <c r="BB21" s="26">
        <f t="shared" si="27"/>
        <v>0</v>
      </c>
      <c r="BC21" s="26">
        <f>VLOOKUP($AO21,TAB,91,FALSE)</f>
        <v>0</v>
      </c>
      <c r="BD21" s="26">
        <f t="shared" si="28"/>
        <v>0</v>
      </c>
      <c r="BE21" s="25">
        <v>309</v>
      </c>
      <c r="BF21" s="11" t="str">
        <f t="shared" si="29"/>
        <v>Павлов Алексей Сергеевич
Чернов Анатолий Михайлович</v>
      </c>
      <c r="BG21" s="11" t="str">
        <f t="shared" si="30"/>
        <v>Юргамыш
Юргамыш</v>
      </c>
      <c r="BH21" s="11" t="str">
        <f t="shared" si="31"/>
        <v>УАЗ 469</v>
      </c>
      <c r="BI21" s="15">
        <f t="shared" si="32"/>
        <v>0</v>
      </c>
      <c r="BJ21" s="26">
        <f t="shared" si="33"/>
        <v>0</v>
      </c>
      <c r="BK21" s="26">
        <f t="shared" si="34"/>
        <v>0</v>
      </c>
      <c r="BL21" s="26">
        <f t="shared" si="35"/>
        <v>0</v>
      </c>
      <c r="BM21" s="15">
        <f t="shared" si="36"/>
        <v>0</v>
      </c>
      <c r="BN21" s="26">
        <f t="shared" si="37"/>
        <v>0</v>
      </c>
      <c r="BO21" s="26">
        <f t="shared" si="38"/>
        <v>0</v>
      </c>
      <c r="BP21" s="26">
        <f t="shared" si="39"/>
        <v>0</v>
      </c>
      <c r="BQ21" s="15">
        <f t="shared" si="40"/>
        <v>0</v>
      </c>
      <c r="BR21" s="26">
        <f t="shared" si="41"/>
        <v>0</v>
      </c>
      <c r="BS21" s="26">
        <f t="shared" si="42"/>
        <v>0</v>
      </c>
      <c r="BT21" s="26">
        <f t="shared" si="43"/>
        <v>0</v>
      </c>
      <c r="BU21" s="25">
        <v>309</v>
      </c>
      <c r="BV21" s="11" t="str">
        <f t="shared" si="44"/>
        <v>Павлов Алексей Сергеевич
Чернов Анатолий Михайлович</v>
      </c>
      <c r="BW21" s="11" t="str">
        <f t="shared" si="45"/>
        <v>Юргамыш
Юргамыш</v>
      </c>
      <c r="BX21" s="11" t="str">
        <f t="shared" si="46"/>
        <v>УАЗ 469</v>
      </c>
      <c r="BY21" s="15">
        <f t="shared" si="47"/>
        <v>0</v>
      </c>
      <c r="BZ21" s="26">
        <f t="shared" si="48"/>
        <v>0</v>
      </c>
      <c r="CA21" s="26">
        <f t="shared" si="49"/>
        <v>0</v>
      </c>
      <c r="CB21" s="26">
        <f t="shared" si="50"/>
        <v>0</v>
      </c>
      <c r="CC21" s="15">
        <f t="shared" si="51"/>
        <v>0</v>
      </c>
      <c r="CD21" s="26">
        <f t="shared" si="52"/>
        <v>0</v>
      </c>
      <c r="CE21" s="26">
        <f t="shared" si="53"/>
        <v>0</v>
      </c>
      <c r="CF21" s="26">
        <f t="shared" si="54"/>
        <v>0</v>
      </c>
      <c r="CG21" s="15">
        <f t="shared" si="55"/>
        <v>0</v>
      </c>
      <c r="CH21" s="26">
        <f t="shared" si="56"/>
        <v>0</v>
      </c>
      <c r="CI21" s="26">
        <f t="shared" si="57"/>
        <v>0</v>
      </c>
      <c r="CJ21" s="26">
        <f t="shared" si="58"/>
        <v>0</v>
      </c>
      <c r="CK21" s="25">
        <v>309</v>
      </c>
      <c r="CL21" s="11" t="str">
        <f t="shared" si="59"/>
        <v>Павлов Алексей Сергеевич
Чернов Анатолий Михайлович</v>
      </c>
      <c r="CM21" s="11" t="str">
        <f t="shared" si="60"/>
        <v>Юргамыш
Юргамыш</v>
      </c>
      <c r="CN21" s="11" t="str">
        <f t="shared" si="61"/>
        <v>УАЗ 469</v>
      </c>
      <c r="CO21" s="15">
        <f t="shared" si="62"/>
        <v>0</v>
      </c>
      <c r="CP21" s="26">
        <f t="shared" si="63"/>
        <v>0</v>
      </c>
      <c r="CQ21" s="26">
        <f t="shared" si="64"/>
        <v>0</v>
      </c>
      <c r="CR21" s="26">
        <f t="shared" si="65"/>
        <v>0</v>
      </c>
      <c r="CS21" s="15" t="str">
        <f t="shared" si="66"/>
        <v>DNF</v>
      </c>
      <c r="CT21" s="26">
        <f t="shared" si="67"/>
        <v>0</v>
      </c>
      <c r="CU21" s="26">
        <f t="shared" si="68"/>
        <v>20</v>
      </c>
      <c r="CV21" s="26">
        <f t="shared" si="69"/>
        <v>20</v>
      </c>
      <c r="CW21" s="15">
        <f t="shared" si="70"/>
        <v>0</v>
      </c>
      <c r="CX21" s="26">
        <f t="shared" si="71"/>
        <v>0</v>
      </c>
      <c r="CY21" s="26">
        <f t="shared" si="72"/>
        <v>0</v>
      </c>
      <c r="CZ21" s="26">
        <f t="shared" si="73"/>
        <v>0</v>
      </c>
      <c r="DA21" s="11">
        <f t="shared" si="74"/>
        <v>103</v>
      </c>
    </row>
    <row r="22" spans="1:105" s="6" customFormat="1" ht="60" x14ac:dyDescent="0.25">
      <c r="A22" s="25">
        <v>310</v>
      </c>
      <c r="B22" s="11" t="str">
        <f>VLOOKUP($A22,TAB,2,FALSE)</f>
        <v>Пантелеев Сергей Павлович
Ефремов Кирилл Андреевич</v>
      </c>
      <c r="C22" s="11" t="str">
        <f>VLOOKUP($A22,TAB,4,FALSE)</f>
        <v>Челябинск
Челябинск</v>
      </c>
      <c r="D22" s="11" t="str">
        <f>VLOOKUP($A22,TAB,5,FALSE)</f>
        <v>Jeep Grand Cherokee</v>
      </c>
      <c r="E22" s="15" t="str">
        <f>VLOOKUP($A22,TAB,8,FALSE)</f>
        <v>DNF</v>
      </c>
      <c r="F22" s="26"/>
      <c r="G22" s="26">
        <f>VLOOKUP($A22,TAB,70,FALSE)</f>
        <v>20</v>
      </c>
      <c r="H22" s="26">
        <f>VLOOKUP($A22,TAB,101,FALSE)</f>
        <v>20</v>
      </c>
      <c r="I22" s="69"/>
      <c r="J22" s="70"/>
      <c r="K22" s="70"/>
      <c r="L22" s="70"/>
      <c r="M22" s="71"/>
      <c r="N22" s="70"/>
      <c r="O22" s="70"/>
      <c r="P22" s="70"/>
      <c r="Q22" s="25">
        <v>310</v>
      </c>
      <c r="R22" s="11" t="str">
        <f t="shared" si="0"/>
        <v>Пантелеев Сергей Павлович
Ефремов Кирилл Андреевич</v>
      </c>
      <c r="S22" s="11" t="str">
        <f t="shared" si="1"/>
        <v>Челябинск
Челябинск</v>
      </c>
      <c r="T22" s="11" t="str">
        <f t="shared" si="2"/>
        <v>Jeep Grand Cherokee</v>
      </c>
      <c r="U22" s="15">
        <f>VLOOKUP($Q22,TAB,22,FALSE)</f>
        <v>4.4418981481481488E-3</v>
      </c>
      <c r="V22" s="26">
        <f>VLOOKUP($Q22,TAB,52,FALSE)</f>
        <v>0</v>
      </c>
      <c r="W22" s="26">
        <f>VLOOKUP($Q22,TAB,84,FALSE)</f>
        <v>75</v>
      </c>
      <c r="X22" s="26">
        <f>VLOOKUP($Q22,TAB,115,FALSE)</f>
        <v>75</v>
      </c>
      <c r="Y22" s="15" t="str">
        <f>VLOOKUP($Q22,TAB,23,FALSE)</f>
        <v>DNF</v>
      </c>
      <c r="Z22" s="26">
        <f>VLOOKUP($Q22,TAB,53,FALSE)</f>
        <v>0</v>
      </c>
      <c r="AA22" s="26">
        <f>VLOOKUP($Q22,TAB,85,FALSE)</f>
        <v>20</v>
      </c>
      <c r="AB22" s="26">
        <f>VLOOKUP($Q22,TAB,116,FALSE)</f>
        <v>20</v>
      </c>
      <c r="AC22" s="15" t="str">
        <f t="shared" si="3"/>
        <v>DNF</v>
      </c>
      <c r="AD22" s="26">
        <f t="shared" si="4"/>
        <v>0</v>
      </c>
      <c r="AE22" s="26">
        <f t="shared" si="5"/>
        <v>20</v>
      </c>
      <c r="AF22" s="26">
        <f t="shared" si="6"/>
        <v>20</v>
      </c>
      <c r="AG22" s="15">
        <f t="shared" si="7"/>
        <v>4.9652777777777777E-3</v>
      </c>
      <c r="AH22" s="26">
        <f t="shared" si="8"/>
        <v>0</v>
      </c>
      <c r="AI22" s="26">
        <f t="shared" si="9"/>
        <v>58</v>
      </c>
      <c r="AJ22" s="26">
        <f t="shared" si="10"/>
        <v>58</v>
      </c>
      <c r="AK22" s="15">
        <f t="shared" si="11"/>
        <v>0</v>
      </c>
      <c r="AL22" s="26">
        <f t="shared" si="12"/>
        <v>0</v>
      </c>
      <c r="AM22" s="26">
        <f t="shared" si="13"/>
        <v>0</v>
      </c>
      <c r="AN22" s="26">
        <f t="shared" si="14"/>
        <v>0</v>
      </c>
      <c r="AO22" s="25">
        <v>310</v>
      </c>
      <c r="AP22" s="11" t="str">
        <f t="shared" si="15"/>
        <v>Пантелеев Сергей Павлович
Ефремов Кирилл Андреевич</v>
      </c>
      <c r="AQ22" s="11" t="str">
        <f t="shared" si="16"/>
        <v>Челябинск
Челябинск</v>
      </c>
      <c r="AR22" s="11">
        <f t="shared" si="17"/>
        <v>0</v>
      </c>
      <c r="AS22" s="15">
        <f t="shared" si="18"/>
        <v>0</v>
      </c>
      <c r="AT22" s="26">
        <f t="shared" si="19"/>
        <v>0</v>
      </c>
      <c r="AU22" s="26">
        <f t="shared" si="20"/>
        <v>0</v>
      </c>
      <c r="AV22" s="26">
        <f t="shared" si="21"/>
        <v>0</v>
      </c>
      <c r="AW22" s="15" t="str">
        <f t="shared" si="22"/>
        <v>DNF</v>
      </c>
      <c r="AX22" s="26">
        <f t="shared" si="23"/>
        <v>0</v>
      </c>
      <c r="AY22" s="26">
        <f t="shared" si="24"/>
        <v>20</v>
      </c>
      <c r="AZ22" s="26">
        <f t="shared" si="25"/>
        <v>20</v>
      </c>
      <c r="BA22" s="15" t="str">
        <f t="shared" si="26"/>
        <v>DNF</v>
      </c>
      <c r="BB22" s="26">
        <f t="shared" si="27"/>
        <v>0</v>
      </c>
      <c r="BC22" s="26">
        <f>VLOOKUP($AO22,TAB,91,FALSE)</f>
        <v>20</v>
      </c>
      <c r="BD22" s="26">
        <f t="shared" si="28"/>
        <v>20</v>
      </c>
      <c r="BE22" s="25">
        <v>310</v>
      </c>
      <c r="BF22" s="11" t="str">
        <f t="shared" si="29"/>
        <v>Пантелеев Сергей Павлович
Ефремов Кирилл Андреевич</v>
      </c>
      <c r="BG22" s="11" t="str">
        <f t="shared" si="30"/>
        <v>Челябинск
Челябинск</v>
      </c>
      <c r="BH22" s="11" t="str">
        <f t="shared" si="31"/>
        <v>Jeep Grand Cherokee</v>
      </c>
      <c r="BI22" s="15" t="str">
        <f t="shared" si="32"/>
        <v>DNF</v>
      </c>
      <c r="BJ22" s="26">
        <f t="shared" si="33"/>
        <v>0</v>
      </c>
      <c r="BK22" s="26">
        <f t="shared" si="34"/>
        <v>20</v>
      </c>
      <c r="BL22" s="26">
        <f t="shared" si="35"/>
        <v>20</v>
      </c>
      <c r="BM22" s="15">
        <f t="shared" si="36"/>
        <v>2.8327546296296295E-3</v>
      </c>
      <c r="BN22" s="26">
        <f t="shared" si="37"/>
        <v>0</v>
      </c>
      <c r="BO22" s="26">
        <f t="shared" si="38"/>
        <v>87</v>
      </c>
      <c r="BP22" s="26">
        <f t="shared" si="39"/>
        <v>87</v>
      </c>
      <c r="BQ22" s="15">
        <f t="shared" si="40"/>
        <v>2.6203703703703706E-3</v>
      </c>
      <c r="BR22" s="26">
        <f t="shared" si="41"/>
        <v>0</v>
      </c>
      <c r="BS22" s="26">
        <f t="shared" si="42"/>
        <v>75</v>
      </c>
      <c r="BT22" s="26">
        <f t="shared" si="43"/>
        <v>75</v>
      </c>
      <c r="BU22" s="25">
        <v>310</v>
      </c>
      <c r="BV22" s="11" t="str">
        <f t="shared" si="44"/>
        <v>Пантелеев Сергей Павлович
Ефремов Кирилл Андреевич</v>
      </c>
      <c r="BW22" s="11" t="str">
        <f t="shared" si="45"/>
        <v>Челябинск
Челябинск</v>
      </c>
      <c r="BX22" s="11" t="str">
        <f t="shared" si="46"/>
        <v>Jeep Grand Cherokee</v>
      </c>
      <c r="BY22" s="15" t="str">
        <f t="shared" si="47"/>
        <v>DNF</v>
      </c>
      <c r="BZ22" s="26">
        <f t="shared" si="48"/>
        <v>0</v>
      </c>
      <c r="CA22" s="26">
        <f t="shared" si="49"/>
        <v>20</v>
      </c>
      <c r="CB22" s="26">
        <f t="shared" si="50"/>
        <v>20</v>
      </c>
      <c r="CC22" s="15">
        <f t="shared" si="51"/>
        <v>1.9328703703703704E-3</v>
      </c>
      <c r="CD22" s="26">
        <f t="shared" si="52"/>
        <v>0</v>
      </c>
      <c r="CE22" s="26">
        <f t="shared" si="53"/>
        <v>87</v>
      </c>
      <c r="CF22" s="26">
        <f t="shared" si="54"/>
        <v>87</v>
      </c>
      <c r="CG22" s="15" t="str">
        <f t="shared" si="55"/>
        <v>DNF</v>
      </c>
      <c r="CH22" s="26">
        <f t="shared" si="56"/>
        <v>0</v>
      </c>
      <c r="CI22" s="26">
        <f t="shared" si="57"/>
        <v>20</v>
      </c>
      <c r="CJ22" s="26">
        <f t="shared" si="58"/>
        <v>20</v>
      </c>
      <c r="CK22" s="25">
        <v>310</v>
      </c>
      <c r="CL22" s="11" t="str">
        <f t="shared" si="59"/>
        <v>Пантелеев Сергей Павлович
Ефремов Кирилл Андреевич</v>
      </c>
      <c r="CM22" s="11" t="str">
        <f t="shared" si="60"/>
        <v>Челябинск
Челябинск</v>
      </c>
      <c r="CN22" s="11" t="str">
        <f t="shared" si="61"/>
        <v>Jeep Grand Cherokee</v>
      </c>
      <c r="CO22" s="15">
        <f t="shared" si="62"/>
        <v>0</v>
      </c>
      <c r="CP22" s="26">
        <f t="shared" si="63"/>
        <v>0</v>
      </c>
      <c r="CQ22" s="26">
        <f t="shared" si="64"/>
        <v>0</v>
      </c>
      <c r="CR22" s="26">
        <f t="shared" si="65"/>
        <v>0</v>
      </c>
      <c r="CS22" s="15" t="str">
        <f t="shared" si="66"/>
        <v>DNF</v>
      </c>
      <c r="CT22" s="26">
        <f t="shared" si="67"/>
        <v>0</v>
      </c>
      <c r="CU22" s="26">
        <f t="shared" si="68"/>
        <v>20</v>
      </c>
      <c r="CV22" s="26">
        <f t="shared" si="69"/>
        <v>20</v>
      </c>
      <c r="CW22" s="15">
        <f t="shared" si="70"/>
        <v>0</v>
      </c>
      <c r="CX22" s="26">
        <f t="shared" si="71"/>
        <v>0</v>
      </c>
      <c r="CY22" s="26">
        <f t="shared" si="72"/>
        <v>0</v>
      </c>
      <c r="CZ22" s="26">
        <f t="shared" si="73"/>
        <v>0</v>
      </c>
      <c r="DA22" s="11">
        <f t="shared" si="74"/>
        <v>562</v>
      </c>
    </row>
    <row r="23" spans="1:105" s="6" customFormat="1" ht="60" x14ac:dyDescent="0.25">
      <c r="A23" s="25">
        <v>311</v>
      </c>
      <c r="B23" s="11" t="str">
        <f>VLOOKUP($A23,TAB,2,FALSE)</f>
        <v>Плотников Андрей Юрьевич
Прокопович Арсений Витальевич</v>
      </c>
      <c r="C23" s="11" t="str">
        <f>VLOOKUP($A23,TAB,4,FALSE)</f>
        <v>Тюмень
Тюмень</v>
      </c>
      <c r="D23" s="11" t="str">
        <f>VLOOKUP($A23,TAB,5,FALSE)</f>
        <v>Нива 2121</v>
      </c>
      <c r="E23" s="15">
        <f>VLOOKUP($A23,TAB,8,FALSE)</f>
        <v>1.4467592592592593E-2</v>
      </c>
      <c r="F23" s="26"/>
      <c r="G23" s="26">
        <f>VLOOKUP($A23,TAB,70,FALSE)</f>
        <v>72</v>
      </c>
      <c r="H23" s="26">
        <f>VLOOKUP($A23,TAB,101,FALSE)</f>
        <v>72</v>
      </c>
      <c r="I23" s="69"/>
      <c r="J23" s="70"/>
      <c r="K23" s="70"/>
      <c r="L23" s="70"/>
      <c r="M23" s="71"/>
      <c r="N23" s="70"/>
      <c r="O23" s="70"/>
      <c r="P23" s="70"/>
      <c r="Q23" s="25">
        <v>311</v>
      </c>
      <c r="R23" s="11" t="str">
        <f t="shared" si="0"/>
        <v>Плотников Андрей Юрьевич
Прокопович Арсений Витальевич</v>
      </c>
      <c r="S23" s="11" t="str">
        <f t="shared" si="1"/>
        <v>Тюмень
Тюмень</v>
      </c>
      <c r="T23" s="11" t="str">
        <f t="shared" si="2"/>
        <v>Нива 2121</v>
      </c>
      <c r="U23" s="15">
        <f>VLOOKUP($Q23,TAB,22,FALSE)</f>
        <v>2.4916666666666668E-3</v>
      </c>
      <c r="V23" s="26">
        <f>VLOOKUP($Q23,TAB,52,FALSE)</f>
        <v>0</v>
      </c>
      <c r="W23" s="26">
        <f>VLOOKUP($Q23,TAB,84,FALSE)</f>
        <v>87</v>
      </c>
      <c r="X23" s="26">
        <f>VLOOKUP($Q23,TAB,115,FALSE)</f>
        <v>87</v>
      </c>
      <c r="Y23" s="15">
        <f>VLOOKUP($Q23,TAB,23,FALSE)</f>
        <v>3.425925925925926E-3</v>
      </c>
      <c r="Z23" s="26">
        <f>VLOOKUP($Q23,TAB,53,FALSE)</f>
        <v>0</v>
      </c>
      <c r="AA23" s="26">
        <f>VLOOKUP($Q23,TAB,85,FALSE)</f>
        <v>90</v>
      </c>
      <c r="AB23" s="26">
        <f>VLOOKUP($Q23,TAB,116,FALSE)</f>
        <v>90</v>
      </c>
      <c r="AC23" s="15">
        <f t="shared" si="3"/>
        <v>0</v>
      </c>
      <c r="AD23" s="26">
        <f t="shared" si="4"/>
        <v>0</v>
      </c>
      <c r="AE23" s="26">
        <f t="shared" si="5"/>
        <v>0</v>
      </c>
      <c r="AF23" s="26">
        <f t="shared" si="6"/>
        <v>0</v>
      </c>
      <c r="AG23" s="15">
        <f t="shared" si="7"/>
        <v>3.530092592592592E-3</v>
      </c>
      <c r="AH23" s="26">
        <f t="shared" si="8"/>
        <v>0</v>
      </c>
      <c r="AI23" s="26">
        <f t="shared" si="9"/>
        <v>75</v>
      </c>
      <c r="AJ23" s="26">
        <f t="shared" si="10"/>
        <v>75</v>
      </c>
      <c r="AK23" s="15" t="str">
        <f t="shared" si="11"/>
        <v>DNF</v>
      </c>
      <c r="AL23" s="26">
        <f t="shared" si="12"/>
        <v>0</v>
      </c>
      <c r="AM23" s="26">
        <f t="shared" si="13"/>
        <v>20</v>
      </c>
      <c r="AN23" s="26">
        <f t="shared" si="14"/>
        <v>20</v>
      </c>
      <c r="AO23" s="25">
        <v>311</v>
      </c>
      <c r="AP23" s="11" t="str">
        <f t="shared" si="15"/>
        <v>Плотников Андрей Юрьевич
Прокопович Арсений Витальевич</v>
      </c>
      <c r="AQ23" s="11" t="str">
        <f t="shared" si="16"/>
        <v>Тюмень
Тюмень</v>
      </c>
      <c r="AR23" s="11" t="str">
        <f t="shared" si="17"/>
        <v>185396
184510</v>
      </c>
      <c r="AS23" s="15">
        <f t="shared" si="18"/>
        <v>0</v>
      </c>
      <c r="AT23" s="26">
        <f t="shared" si="19"/>
        <v>0</v>
      </c>
      <c r="AU23" s="26">
        <f t="shared" si="20"/>
        <v>0</v>
      </c>
      <c r="AV23" s="26">
        <f t="shared" si="21"/>
        <v>0</v>
      </c>
      <c r="AW23" s="15">
        <f t="shared" si="22"/>
        <v>0</v>
      </c>
      <c r="AX23" s="26">
        <f t="shared" si="23"/>
        <v>0</v>
      </c>
      <c r="AY23" s="26">
        <f t="shared" si="24"/>
        <v>0</v>
      </c>
      <c r="AZ23" s="26">
        <f t="shared" si="25"/>
        <v>0</v>
      </c>
      <c r="BA23" s="15">
        <f t="shared" si="26"/>
        <v>0</v>
      </c>
      <c r="BB23" s="26">
        <f t="shared" si="27"/>
        <v>0</v>
      </c>
      <c r="BC23" s="26">
        <f>VLOOKUP($AO23,TAB,91,FALSE)</f>
        <v>0</v>
      </c>
      <c r="BD23" s="26">
        <f t="shared" si="28"/>
        <v>0</v>
      </c>
      <c r="BE23" s="25">
        <v>311</v>
      </c>
      <c r="BF23" s="11" t="str">
        <f t="shared" si="29"/>
        <v>Плотников Андрей Юрьевич
Прокопович Арсений Витальевич</v>
      </c>
      <c r="BG23" s="11" t="str">
        <f t="shared" si="30"/>
        <v>Тюмень
Тюмень</v>
      </c>
      <c r="BH23" s="11" t="str">
        <f t="shared" si="31"/>
        <v>Нива 2121</v>
      </c>
      <c r="BI23" s="15">
        <f t="shared" si="32"/>
        <v>0</v>
      </c>
      <c r="BJ23" s="26">
        <f t="shared" si="33"/>
        <v>0</v>
      </c>
      <c r="BK23" s="26">
        <f t="shared" si="34"/>
        <v>0</v>
      </c>
      <c r="BL23" s="26">
        <f t="shared" si="35"/>
        <v>0</v>
      </c>
      <c r="BM23" s="15">
        <f t="shared" si="36"/>
        <v>2.864930555555555E-3</v>
      </c>
      <c r="BN23" s="26">
        <f t="shared" si="37"/>
        <v>0</v>
      </c>
      <c r="BO23" s="26">
        <f t="shared" si="38"/>
        <v>78</v>
      </c>
      <c r="BP23" s="26">
        <f t="shared" si="39"/>
        <v>78</v>
      </c>
      <c r="BQ23" s="15">
        <f t="shared" si="40"/>
        <v>0</v>
      </c>
      <c r="BR23" s="26">
        <f t="shared" si="41"/>
        <v>0</v>
      </c>
      <c r="BS23" s="26">
        <f t="shared" si="42"/>
        <v>0</v>
      </c>
      <c r="BT23" s="26">
        <f t="shared" si="43"/>
        <v>0</v>
      </c>
      <c r="BU23" s="25">
        <v>311</v>
      </c>
      <c r="BV23" s="11" t="str">
        <f t="shared" si="44"/>
        <v>Плотников Андрей Юрьевич
Прокопович Арсений Витальевич</v>
      </c>
      <c r="BW23" s="11" t="str">
        <f t="shared" si="45"/>
        <v>Тюмень
Тюмень</v>
      </c>
      <c r="BX23" s="11" t="str">
        <f t="shared" si="46"/>
        <v>Нива 2121</v>
      </c>
      <c r="BY23" s="15">
        <f t="shared" si="47"/>
        <v>0</v>
      </c>
      <c r="BZ23" s="26">
        <f t="shared" si="48"/>
        <v>0</v>
      </c>
      <c r="CA23" s="26">
        <f t="shared" si="49"/>
        <v>0</v>
      </c>
      <c r="CB23" s="26">
        <f t="shared" si="50"/>
        <v>0</v>
      </c>
      <c r="CC23" s="15">
        <f t="shared" si="51"/>
        <v>2.3726851851851851E-3</v>
      </c>
      <c r="CD23" s="26">
        <f t="shared" si="52"/>
        <v>0</v>
      </c>
      <c r="CE23" s="26">
        <f t="shared" si="53"/>
        <v>81</v>
      </c>
      <c r="CF23" s="26">
        <f t="shared" si="54"/>
        <v>81</v>
      </c>
      <c r="CG23" s="15">
        <f t="shared" si="55"/>
        <v>6.238425925925925E-3</v>
      </c>
      <c r="CH23" s="26">
        <f t="shared" si="56"/>
        <v>0</v>
      </c>
      <c r="CI23" s="26">
        <f t="shared" si="57"/>
        <v>84</v>
      </c>
      <c r="CJ23" s="26">
        <f t="shared" si="58"/>
        <v>84</v>
      </c>
      <c r="CK23" s="25">
        <v>311</v>
      </c>
      <c r="CL23" s="11" t="str">
        <f t="shared" si="59"/>
        <v>Плотников Андрей Юрьевич
Прокопович Арсений Витальевич</v>
      </c>
      <c r="CM23" s="11" t="str">
        <f t="shared" si="60"/>
        <v>Тюмень
Тюмень</v>
      </c>
      <c r="CN23" s="11" t="str">
        <f t="shared" si="61"/>
        <v>Нива 2121</v>
      </c>
      <c r="CO23" s="15">
        <f t="shared" si="62"/>
        <v>0</v>
      </c>
      <c r="CP23" s="26">
        <f t="shared" si="63"/>
        <v>0</v>
      </c>
      <c r="CQ23" s="26">
        <f t="shared" si="64"/>
        <v>0</v>
      </c>
      <c r="CR23" s="26">
        <f t="shared" si="65"/>
        <v>0</v>
      </c>
      <c r="CS23" s="15">
        <f t="shared" si="66"/>
        <v>0</v>
      </c>
      <c r="CT23" s="26">
        <f t="shared" si="67"/>
        <v>0</v>
      </c>
      <c r="CU23" s="26">
        <f t="shared" si="68"/>
        <v>0</v>
      </c>
      <c r="CV23" s="26">
        <f t="shared" si="69"/>
        <v>0</v>
      </c>
      <c r="CW23" s="15">
        <f t="shared" si="70"/>
        <v>0</v>
      </c>
      <c r="CX23" s="26">
        <f t="shared" si="71"/>
        <v>0</v>
      </c>
      <c r="CY23" s="26">
        <f t="shared" si="72"/>
        <v>0</v>
      </c>
      <c r="CZ23" s="26">
        <f t="shared" si="73"/>
        <v>0</v>
      </c>
      <c r="DA23" s="11">
        <f t="shared" si="74"/>
        <v>587</v>
      </c>
    </row>
    <row r="24" spans="1:105" s="6" customFormat="1" ht="60" x14ac:dyDescent="0.25">
      <c r="A24" s="25">
        <v>312</v>
      </c>
      <c r="B24" s="11" t="str">
        <f>VLOOKUP($A24,TAB,2,FALSE)</f>
        <v>Цветков Никита Александрович
Крякунов Антон Александрович</v>
      </c>
      <c r="C24" s="11" t="str">
        <f>VLOOKUP($A24,TAB,4,FALSE)</f>
        <v>Реж
Реж</v>
      </c>
      <c r="D24" s="11" t="str">
        <f>VLOOKUP($A24,TAB,5,FALSE)</f>
        <v>Нива 2123</v>
      </c>
      <c r="E24" s="15" t="str">
        <f>VLOOKUP($A24,TAB,8,FALSE)</f>
        <v>DNF</v>
      </c>
      <c r="F24" s="26"/>
      <c r="G24" s="26">
        <f>VLOOKUP($A24,TAB,70,FALSE)</f>
        <v>20</v>
      </c>
      <c r="H24" s="26">
        <f>VLOOKUP($A24,TAB,101,FALSE)</f>
        <v>20</v>
      </c>
      <c r="I24" s="69"/>
      <c r="J24" s="70"/>
      <c r="K24" s="70"/>
      <c r="L24" s="70"/>
      <c r="M24" s="71"/>
      <c r="N24" s="70"/>
      <c r="O24" s="70"/>
      <c r="P24" s="70"/>
      <c r="Q24" s="25">
        <v>312</v>
      </c>
      <c r="R24" s="11" t="str">
        <f t="shared" si="0"/>
        <v>Цветков Никита Александрович
Крякунов Антон Александрович</v>
      </c>
      <c r="S24" s="11" t="str">
        <f t="shared" si="1"/>
        <v>Реж
Реж</v>
      </c>
      <c r="T24" s="11" t="str">
        <f t="shared" si="2"/>
        <v>Нива 2123</v>
      </c>
      <c r="U24" s="15">
        <f>VLOOKUP($Q24,TAB,22,FALSE)</f>
        <v>0</v>
      </c>
      <c r="V24" s="26">
        <f>VLOOKUP($Q24,TAB,52,FALSE)</f>
        <v>0</v>
      </c>
      <c r="W24" s="26">
        <f>VLOOKUP($Q24,TAB,84,FALSE)</f>
        <v>0</v>
      </c>
      <c r="X24" s="26">
        <f>VLOOKUP($Q24,TAB,115,FALSE)</f>
        <v>0</v>
      </c>
      <c r="Y24" s="15">
        <f>VLOOKUP($Q24,TAB,23,FALSE)</f>
        <v>0</v>
      </c>
      <c r="Z24" s="26">
        <f>VLOOKUP($Q24,TAB,53,FALSE)</f>
        <v>0</v>
      </c>
      <c r="AA24" s="26">
        <f>VLOOKUP($Q24,TAB,85,FALSE)</f>
        <v>0</v>
      </c>
      <c r="AB24" s="26">
        <f>VLOOKUP($Q24,TAB,116,FALSE)</f>
        <v>0</v>
      </c>
      <c r="AC24" s="15">
        <f t="shared" si="3"/>
        <v>0</v>
      </c>
      <c r="AD24" s="26">
        <f t="shared" si="4"/>
        <v>0</v>
      </c>
      <c r="AE24" s="26">
        <f t="shared" si="5"/>
        <v>0</v>
      </c>
      <c r="AF24" s="26">
        <f t="shared" si="6"/>
        <v>0</v>
      </c>
      <c r="AG24" s="15">
        <f t="shared" si="7"/>
        <v>2.8703703703703708E-3</v>
      </c>
      <c r="AH24" s="26">
        <f t="shared" si="8"/>
        <v>0</v>
      </c>
      <c r="AI24" s="26">
        <f t="shared" si="9"/>
        <v>78</v>
      </c>
      <c r="AJ24" s="26">
        <f t="shared" si="10"/>
        <v>78</v>
      </c>
      <c r="AK24" s="15">
        <f t="shared" si="11"/>
        <v>0</v>
      </c>
      <c r="AL24" s="26">
        <f t="shared" si="12"/>
        <v>0</v>
      </c>
      <c r="AM24" s="26">
        <f t="shared" si="13"/>
        <v>0</v>
      </c>
      <c r="AN24" s="26">
        <f t="shared" si="14"/>
        <v>0</v>
      </c>
      <c r="AO24" s="25">
        <v>312</v>
      </c>
      <c r="AP24" s="11" t="str">
        <f t="shared" si="15"/>
        <v>Цветков Никита Александрович
Крякунов Антон Александрович</v>
      </c>
      <c r="AQ24" s="11" t="str">
        <f t="shared" si="16"/>
        <v>Реж
Реж</v>
      </c>
      <c r="AR24" s="11">
        <f t="shared" si="17"/>
        <v>0</v>
      </c>
      <c r="AS24" s="15" t="str">
        <f t="shared" si="18"/>
        <v>DNF</v>
      </c>
      <c r="AT24" s="26">
        <f t="shared" si="19"/>
        <v>0</v>
      </c>
      <c r="AU24" s="26">
        <f t="shared" si="20"/>
        <v>20</v>
      </c>
      <c r="AV24" s="26">
        <f t="shared" si="21"/>
        <v>20</v>
      </c>
      <c r="AW24" s="15" t="str">
        <f t="shared" si="22"/>
        <v>DNF</v>
      </c>
      <c r="AX24" s="26">
        <f t="shared" si="23"/>
        <v>0</v>
      </c>
      <c r="AY24" s="26">
        <f t="shared" si="24"/>
        <v>20</v>
      </c>
      <c r="AZ24" s="26">
        <f t="shared" si="25"/>
        <v>20</v>
      </c>
      <c r="BA24" s="15">
        <f t="shared" si="26"/>
        <v>0</v>
      </c>
      <c r="BB24" s="26">
        <f t="shared" si="27"/>
        <v>0</v>
      </c>
      <c r="BC24" s="26">
        <f>VLOOKUP($AO24,TAB,91,FALSE)</f>
        <v>0</v>
      </c>
      <c r="BD24" s="26">
        <f t="shared" si="28"/>
        <v>0</v>
      </c>
      <c r="BE24" s="25">
        <v>312</v>
      </c>
      <c r="BF24" s="11" t="str">
        <f t="shared" si="29"/>
        <v>Цветков Никита Александрович
Крякунов Антон Александрович</v>
      </c>
      <c r="BG24" s="11" t="str">
        <f t="shared" si="30"/>
        <v>Реж
Реж</v>
      </c>
      <c r="BH24" s="11" t="str">
        <f t="shared" si="31"/>
        <v>Нива 2123</v>
      </c>
      <c r="BI24" s="15" t="str">
        <f t="shared" si="32"/>
        <v>DNF</v>
      </c>
      <c r="BJ24" s="26">
        <f t="shared" si="33"/>
        <v>0</v>
      </c>
      <c r="BK24" s="26">
        <f t="shared" si="34"/>
        <v>20</v>
      </c>
      <c r="BL24" s="26">
        <f t="shared" si="35"/>
        <v>20</v>
      </c>
      <c r="BM24" s="15">
        <f t="shared" si="36"/>
        <v>6.639930555555556E-3</v>
      </c>
      <c r="BN24" s="26">
        <f t="shared" si="37"/>
        <v>0</v>
      </c>
      <c r="BO24" s="26">
        <f t="shared" si="38"/>
        <v>66</v>
      </c>
      <c r="BP24" s="26">
        <f t="shared" si="39"/>
        <v>66</v>
      </c>
      <c r="BQ24" s="15" t="str">
        <f t="shared" si="40"/>
        <v>DNF</v>
      </c>
      <c r="BR24" s="26">
        <f t="shared" si="41"/>
        <v>0</v>
      </c>
      <c r="BS24" s="26">
        <f t="shared" si="42"/>
        <v>20</v>
      </c>
      <c r="BT24" s="26">
        <f t="shared" si="43"/>
        <v>20</v>
      </c>
      <c r="BU24" s="25">
        <v>312</v>
      </c>
      <c r="BV24" s="11" t="str">
        <f t="shared" si="44"/>
        <v>Цветков Никита Александрович
Крякунов Антон Александрович</v>
      </c>
      <c r="BW24" s="11" t="str">
        <f t="shared" si="45"/>
        <v>Реж
Реж</v>
      </c>
      <c r="BX24" s="11" t="str">
        <f t="shared" si="46"/>
        <v>Нива 2123</v>
      </c>
      <c r="BY24" s="15" t="str">
        <f t="shared" si="47"/>
        <v>DNF</v>
      </c>
      <c r="BZ24" s="26">
        <f t="shared" si="48"/>
        <v>0</v>
      </c>
      <c r="CA24" s="26">
        <f t="shared" si="49"/>
        <v>20</v>
      </c>
      <c r="CB24" s="26">
        <f t="shared" si="50"/>
        <v>20</v>
      </c>
      <c r="CC24" s="15" t="str">
        <f t="shared" si="51"/>
        <v>DNF</v>
      </c>
      <c r="CD24" s="26">
        <f t="shared" si="52"/>
        <v>0</v>
      </c>
      <c r="CE24" s="26">
        <f t="shared" si="53"/>
        <v>20</v>
      </c>
      <c r="CF24" s="26">
        <f t="shared" si="54"/>
        <v>20</v>
      </c>
      <c r="CG24" s="15" t="str">
        <f t="shared" si="55"/>
        <v>DNF</v>
      </c>
      <c r="CH24" s="26">
        <f t="shared" si="56"/>
        <v>0</v>
      </c>
      <c r="CI24" s="26">
        <f t="shared" si="57"/>
        <v>20</v>
      </c>
      <c r="CJ24" s="26">
        <f t="shared" si="58"/>
        <v>20</v>
      </c>
      <c r="CK24" s="25">
        <v>312</v>
      </c>
      <c r="CL24" s="11" t="str">
        <f t="shared" si="59"/>
        <v>Цветков Никита Александрович
Крякунов Антон Александрович</v>
      </c>
      <c r="CM24" s="11" t="str">
        <f t="shared" si="60"/>
        <v>Реж
Реж</v>
      </c>
      <c r="CN24" s="11" t="str">
        <f t="shared" si="61"/>
        <v>Нива 2123</v>
      </c>
      <c r="CO24" s="15" t="str">
        <f t="shared" si="62"/>
        <v>DNF</v>
      </c>
      <c r="CP24" s="26">
        <f t="shared" si="63"/>
        <v>0</v>
      </c>
      <c r="CQ24" s="26">
        <f t="shared" si="64"/>
        <v>20</v>
      </c>
      <c r="CR24" s="26">
        <f t="shared" si="65"/>
        <v>20</v>
      </c>
      <c r="CS24" s="15">
        <f t="shared" si="66"/>
        <v>0</v>
      </c>
      <c r="CT24" s="26">
        <f t="shared" si="67"/>
        <v>0</v>
      </c>
      <c r="CU24" s="26">
        <f t="shared" si="68"/>
        <v>0</v>
      </c>
      <c r="CV24" s="26">
        <f t="shared" si="69"/>
        <v>0</v>
      </c>
      <c r="CW24" s="15">
        <f t="shared" si="70"/>
        <v>0</v>
      </c>
      <c r="CX24" s="26">
        <f t="shared" si="71"/>
        <v>0</v>
      </c>
      <c r="CY24" s="26">
        <f t="shared" si="72"/>
        <v>0</v>
      </c>
      <c r="CZ24" s="26">
        <f t="shared" si="73"/>
        <v>0</v>
      </c>
      <c r="DA24" s="11">
        <f t="shared" si="74"/>
        <v>324</v>
      </c>
    </row>
    <row r="25" spans="1:105" s="6" customFormat="1" ht="60" x14ac:dyDescent="0.25">
      <c r="A25" s="25">
        <v>313</v>
      </c>
      <c r="B25" s="11" t="str">
        <f>VLOOKUP($A25,TAB,2,FALSE)</f>
        <v>Иванов Артем Викторович
Пшикун Михаил Андреевич</v>
      </c>
      <c r="C25" s="11" t="str">
        <f>VLOOKUP($A25,TAB,4,FALSE)</f>
        <v>Н. Тагил
Н. Тагил</v>
      </c>
      <c r="D25" s="11" t="str">
        <f>VLOOKUP($A25,TAB,5,FALSE)</f>
        <v>Нива 2121</v>
      </c>
      <c r="E25" s="15" t="str">
        <f>VLOOKUP($A25,TAB,8,FALSE)</f>
        <v>DNF</v>
      </c>
      <c r="F25" s="26"/>
      <c r="G25" s="26">
        <f>VLOOKUP($A25,TAB,70,FALSE)</f>
        <v>20</v>
      </c>
      <c r="H25" s="26">
        <f>VLOOKUP($A25,TAB,101,FALSE)</f>
        <v>20</v>
      </c>
      <c r="I25" s="69"/>
      <c r="J25" s="70"/>
      <c r="K25" s="70"/>
      <c r="L25" s="70"/>
      <c r="M25" s="71"/>
      <c r="N25" s="70"/>
      <c r="O25" s="70"/>
      <c r="P25" s="70"/>
      <c r="Q25" s="25">
        <v>313</v>
      </c>
      <c r="R25" s="11" t="str">
        <f t="shared" si="0"/>
        <v>Иванов Артем Викторович
Пшикун Михаил Андреевич</v>
      </c>
      <c r="S25" s="11" t="str">
        <f t="shared" si="1"/>
        <v>Н. Тагил
Н. Тагил</v>
      </c>
      <c r="T25" s="11" t="str">
        <f t="shared" si="2"/>
        <v>Нива 2121</v>
      </c>
      <c r="U25" s="15" t="str">
        <f>VLOOKUP($Q25,TAB,22,FALSE)</f>
        <v>DNF</v>
      </c>
      <c r="V25" s="26">
        <f>VLOOKUP($Q25,TAB,52,FALSE)</f>
        <v>0</v>
      </c>
      <c r="W25" s="26">
        <f>VLOOKUP($Q25,TAB,84,FALSE)</f>
        <v>20</v>
      </c>
      <c r="X25" s="26">
        <f>VLOOKUP($Q25,TAB,115,FALSE)</f>
        <v>20</v>
      </c>
      <c r="Y25" s="15">
        <f>VLOOKUP($Q25,TAB,23,FALSE)</f>
        <v>0</v>
      </c>
      <c r="Z25" s="26">
        <f>VLOOKUP($Q25,TAB,53,FALSE)</f>
        <v>0</v>
      </c>
      <c r="AA25" s="26">
        <f>VLOOKUP($Q25,TAB,85,FALSE)</f>
        <v>0</v>
      </c>
      <c r="AB25" s="26">
        <f>VLOOKUP($Q25,TAB,116,FALSE)</f>
        <v>0</v>
      </c>
      <c r="AC25" s="15">
        <f t="shared" si="3"/>
        <v>0</v>
      </c>
      <c r="AD25" s="26">
        <f t="shared" si="4"/>
        <v>0</v>
      </c>
      <c r="AE25" s="26">
        <f t="shared" si="5"/>
        <v>0</v>
      </c>
      <c r="AF25" s="26">
        <f t="shared" si="6"/>
        <v>0</v>
      </c>
      <c r="AG25" s="15" t="str">
        <f t="shared" si="7"/>
        <v>DNF</v>
      </c>
      <c r="AH25" s="26">
        <f t="shared" si="8"/>
        <v>0</v>
      </c>
      <c r="AI25" s="26">
        <f t="shared" si="9"/>
        <v>20</v>
      </c>
      <c r="AJ25" s="26">
        <f t="shared" si="10"/>
        <v>20</v>
      </c>
      <c r="AK25" s="15" t="str">
        <f t="shared" si="11"/>
        <v>DNF</v>
      </c>
      <c r="AL25" s="26">
        <f t="shared" si="12"/>
        <v>0</v>
      </c>
      <c r="AM25" s="26">
        <f t="shared" si="13"/>
        <v>20</v>
      </c>
      <c r="AN25" s="26">
        <f t="shared" si="14"/>
        <v>20</v>
      </c>
      <c r="AO25" s="25">
        <v>313</v>
      </c>
      <c r="AP25" s="11" t="str">
        <f t="shared" si="15"/>
        <v>Иванов Артем Викторович
Пшикун Михаил Андреевич</v>
      </c>
      <c r="AQ25" s="11" t="str">
        <f t="shared" si="16"/>
        <v>Н. Тагил
Н. Тагил</v>
      </c>
      <c r="AR25" s="11">
        <f t="shared" si="17"/>
        <v>0</v>
      </c>
      <c r="AS25" s="15" t="str">
        <f t="shared" si="18"/>
        <v>DNF</v>
      </c>
      <c r="AT25" s="26">
        <f t="shared" si="19"/>
        <v>0</v>
      </c>
      <c r="AU25" s="26">
        <f t="shared" si="20"/>
        <v>20</v>
      </c>
      <c r="AV25" s="26">
        <f t="shared" si="21"/>
        <v>20</v>
      </c>
      <c r="AW25" s="15" t="str">
        <f t="shared" si="22"/>
        <v>DNF</v>
      </c>
      <c r="AX25" s="26">
        <f t="shared" si="23"/>
        <v>0</v>
      </c>
      <c r="AY25" s="26">
        <f t="shared" si="24"/>
        <v>20</v>
      </c>
      <c r="AZ25" s="26">
        <f t="shared" si="25"/>
        <v>20</v>
      </c>
      <c r="BA25" s="15" t="str">
        <f t="shared" si="26"/>
        <v>DNF</v>
      </c>
      <c r="BB25" s="26">
        <f t="shared" si="27"/>
        <v>0</v>
      </c>
      <c r="BC25" s="26">
        <f>VLOOKUP($AO25,TAB,91,FALSE)</f>
        <v>20</v>
      </c>
      <c r="BD25" s="26">
        <f t="shared" si="28"/>
        <v>20</v>
      </c>
      <c r="BE25" s="25">
        <v>313</v>
      </c>
      <c r="BF25" s="11" t="str">
        <f t="shared" si="29"/>
        <v>Иванов Артем Викторович
Пшикун Михаил Андреевич</v>
      </c>
      <c r="BG25" s="11" t="str">
        <f t="shared" si="30"/>
        <v>Н. Тагил
Н. Тагил</v>
      </c>
      <c r="BH25" s="11" t="str">
        <f t="shared" si="31"/>
        <v>Нива 2121</v>
      </c>
      <c r="BI25" s="15" t="str">
        <f t="shared" si="32"/>
        <v>DNF</v>
      </c>
      <c r="BJ25" s="26">
        <f t="shared" si="33"/>
        <v>0</v>
      </c>
      <c r="BK25" s="26">
        <f t="shared" si="34"/>
        <v>20</v>
      </c>
      <c r="BL25" s="26">
        <f t="shared" si="35"/>
        <v>20</v>
      </c>
      <c r="BM25" s="15" t="str">
        <f t="shared" si="36"/>
        <v>DNF</v>
      </c>
      <c r="BN25" s="26">
        <f t="shared" si="37"/>
        <v>0</v>
      </c>
      <c r="BO25" s="26">
        <f t="shared" si="38"/>
        <v>20</v>
      </c>
      <c r="BP25" s="26">
        <f t="shared" si="39"/>
        <v>20</v>
      </c>
      <c r="BQ25" s="15" t="str">
        <f t="shared" si="40"/>
        <v>DNF</v>
      </c>
      <c r="BR25" s="26">
        <f t="shared" si="41"/>
        <v>0</v>
      </c>
      <c r="BS25" s="26">
        <f t="shared" si="42"/>
        <v>20</v>
      </c>
      <c r="BT25" s="26">
        <f t="shared" si="43"/>
        <v>20</v>
      </c>
      <c r="BU25" s="25">
        <v>313</v>
      </c>
      <c r="BV25" s="11" t="str">
        <f t="shared" si="44"/>
        <v>Иванов Артем Викторович
Пшикун Михаил Андреевич</v>
      </c>
      <c r="BW25" s="11" t="str">
        <f t="shared" si="45"/>
        <v>Н. Тагил
Н. Тагил</v>
      </c>
      <c r="BX25" s="11" t="str">
        <f t="shared" si="46"/>
        <v>Нива 2121</v>
      </c>
      <c r="BY25" s="15" t="str">
        <f t="shared" si="47"/>
        <v>DNF</v>
      </c>
      <c r="BZ25" s="26">
        <f t="shared" si="48"/>
        <v>0</v>
      </c>
      <c r="CA25" s="26">
        <f t="shared" si="49"/>
        <v>20</v>
      </c>
      <c r="CB25" s="26">
        <f t="shared" si="50"/>
        <v>20</v>
      </c>
      <c r="CC25" s="15" t="str">
        <f t="shared" si="51"/>
        <v>DNF</v>
      </c>
      <c r="CD25" s="26">
        <f t="shared" si="52"/>
        <v>0</v>
      </c>
      <c r="CE25" s="26">
        <f t="shared" si="53"/>
        <v>20</v>
      </c>
      <c r="CF25" s="26">
        <f t="shared" si="54"/>
        <v>20</v>
      </c>
      <c r="CG25" s="15" t="str">
        <f t="shared" si="55"/>
        <v>DNF</v>
      </c>
      <c r="CH25" s="26">
        <f t="shared" si="56"/>
        <v>0</v>
      </c>
      <c r="CI25" s="26">
        <f t="shared" si="57"/>
        <v>20</v>
      </c>
      <c r="CJ25" s="26">
        <f t="shared" si="58"/>
        <v>20</v>
      </c>
      <c r="CK25" s="25">
        <v>313</v>
      </c>
      <c r="CL25" s="11" t="str">
        <f t="shared" si="59"/>
        <v>Иванов Артем Викторович
Пшикун Михаил Андреевич</v>
      </c>
      <c r="CM25" s="11" t="str">
        <f t="shared" si="60"/>
        <v>Н. Тагил
Н. Тагил</v>
      </c>
      <c r="CN25" s="11" t="str">
        <f t="shared" si="61"/>
        <v>Нива 2121</v>
      </c>
      <c r="CO25" s="15" t="str">
        <f t="shared" si="62"/>
        <v>DNF</v>
      </c>
      <c r="CP25" s="26">
        <f t="shared" si="63"/>
        <v>0</v>
      </c>
      <c r="CQ25" s="26">
        <f t="shared" si="64"/>
        <v>20</v>
      </c>
      <c r="CR25" s="26">
        <f t="shared" si="65"/>
        <v>20</v>
      </c>
      <c r="CS25" s="15" t="str">
        <f t="shared" si="66"/>
        <v>DNF</v>
      </c>
      <c r="CT25" s="26">
        <f t="shared" si="67"/>
        <v>0</v>
      </c>
      <c r="CU25" s="26">
        <f t="shared" si="68"/>
        <v>20</v>
      </c>
      <c r="CV25" s="26">
        <f t="shared" si="69"/>
        <v>20</v>
      </c>
      <c r="CW25" s="15">
        <f t="shared" si="70"/>
        <v>0</v>
      </c>
      <c r="CX25" s="26">
        <f t="shared" si="71"/>
        <v>0</v>
      </c>
      <c r="CY25" s="26">
        <f t="shared" si="72"/>
        <v>0</v>
      </c>
      <c r="CZ25" s="26">
        <f t="shared" si="73"/>
        <v>0</v>
      </c>
      <c r="DA25" s="11">
        <f t="shared" si="74"/>
        <v>300</v>
      </c>
    </row>
    <row r="26" spans="1:105" s="6" customFormat="1" ht="60" x14ac:dyDescent="0.25">
      <c r="A26" s="25">
        <v>314</v>
      </c>
      <c r="B26" s="11" t="str">
        <f>VLOOKUP($A26,TAB,2,FALSE)</f>
        <v>Ачимов Павел Викторович
Алчебаев Николай Юрьевич</v>
      </c>
      <c r="C26" s="11" t="str">
        <f>VLOOKUP($A26,TAB,4,FALSE)</f>
        <v>Екатеринбург
Екатеринбург</v>
      </c>
      <c r="D26" s="11" t="str">
        <f>VLOOKUP($A26,TAB,5,FALSE)</f>
        <v>Jeep Cherokee Wagoner</v>
      </c>
      <c r="E26" s="15">
        <f>VLOOKUP($A26,TAB,8,FALSE)</f>
        <v>1.2337962962962962E-2</v>
      </c>
      <c r="F26" s="26"/>
      <c r="G26" s="26">
        <f>VLOOKUP($A26,TAB,70,FALSE)</f>
        <v>78</v>
      </c>
      <c r="H26" s="26">
        <f>VLOOKUP($A26,TAB,101,FALSE)</f>
        <v>78</v>
      </c>
      <c r="I26" s="69"/>
      <c r="J26" s="70"/>
      <c r="K26" s="70"/>
      <c r="L26" s="70"/>
      <c r="M26" s="71"/>
      <c r="N26" s="70"/>
      <c r="O26" s="70"/>
      <c r="P26" s="70"/>
      <c r="Q26" s="25">
        <v>314</v>
      </c>
      <c r="R26" s="11" t="str">
        <f t="shared" si="0"/>
        <v>Ачимов Павел Викторович
Алчебаев Николай Юрьевич</v>
      </c>
      <c r="S26" s="11" t="str">
        <f t="shared" si="1"/>
        <v>Екатеринбург
Екатеринбург</v>
      </c>
      <c r="T26" s="11" t="str">
        <f t="shared" si="2"/>
        <v>Jeep Cherokee Wagoner</v>
      </c>
      <c r="U26" s="15">
        <f>VLOOKUP($Q26,TAB,22,FALSE)</f>
        <v>3.4509259259259254E-3</v>
      </c>
      <c r="V26" s="26">
        <f>VLOOKUP($Q26,TAB,52,FALSE)</f>
        <v>0</v>
      </c>
      <c r="W26" s="26">
        <f>VLOOKUP($Q26,TAB,84,FALSE)</f>
        <v>81</v>
      </c>
      <c r="X26" s="26">
        <f>VLOOKUP($Q26,TAB,115,FALSE)</f>
        <v>81</v>
      </c>
      <c r="Y26" s="15" t="str">
        <f>VLOOKUP($Q26,TAB,23,FALSE)</f>
        <v>DNF</v>
      </c>
      <c r="Z26" s="26">
        <f>VLOOKUP($Q26,TAB,53,FALSE)</f>
        <v>0</v>
      </c>
      <c r="AA26" s="26">
        <f>VLOOKUP($Q26,TAB,85,FALSE)</f>
        <v>20</v>
      </c>
      <c r="AB26" s="26">
        <f>VLOOKUP($Q26,TAB,116,FALSE)</f>
        <v>20</v>
      </c>
      <c r="AC26" s="15" t="str">
        <f t="shared" si="3"/>
        <v>DNF</v>
      </c>
      <c r="AD26" s="26">
        <f t="shared" si="4"/>
        <v>0</v>
      </c>
      <c r="AE26" s="26">
        <f t="shared" si="5"/>
        <v>20</v>
      </c>
      <c r="AF26" s="26">
        <f t="shared" si="6"/>
        <v>20</v>
      </c>
      <c r="AG26" s="15">
        <f t="shared" si="7"/>
        <v>2.1296296296296298E-3</v>
      </c>
      <c r="AH26" s="26">
        <f t="shared" si="8"/>
        <v>0</v>
      </c>
      <c r="AI26" s="26">
        <f t="shared" si="9"/>
        <v>90</v>
      </c>
      <c r="AJ26" s="26">
        <f t="shared" si="10"/>
        <v>90</v>
      </c>
      <c r="AK26" s="15">
        <f t="shared" si="11"/>
        <v>0</v>
      </c>
      <c r="AL26" s="26">
        <f t="shared" si="12"/>
        <v>0</v>
      </c>
      <c r="AM26" s="26">
        <f t="shared" si="13"/>
        <v>0</v>
      </c>
      <c r="AN26" s="26">
        <f t="shared" si="14"/>
        <v>0</v>
      </c>
      <c r="AO26" s="25">
        <v>314</v>
      </c>
      <c r="AP26" s="11" t="str">
        <f t="shared" si="15"/>
        <v>Ачимов Павел Викторович
Алчебаев Николай Юрьевич</v>
      </c>
      <c r="AQ26" s="11" t="str">
        <f t="shared" si="16"/>
        <v>Екатеринбург
Екатеринбург</v>
      </c>
      <c r="AR26" s="11">
        <f t="shared" si="17"/>
        <v>0</v>
      </c>
      <c r="AS26" s="15" t="str">
        <f t="shared" si="18"/>
        <v>DNF</v>
      </c>
      <c r="AT26" s="26">
        <f t="shared" si="19"/>
        <v>0</v>
      </c>
      <c r="AU26" s="26">
        <f t="shared" si="20"/>
        <v>20</v>
      </c>
      <c r="AV26" s="26">
        <f t="shared" si="21"/>
        <v>20</v>
      </c>
      <c r="AW26" s="15" t="str">
        <f t="shared" si="22"/>
        <v>DNF</v>
      </c>
      <c r="AX26" s="26">
        <f t="shared" si="23"/>
        <v>0</v>
      </c>
      <c r="AY26" s="26">
        <f t="shared" si="24"/>
        <v>20</v>
      </c>
      <c r="AZ26" s="26">
        <f t="shared" si="25"/>
        <v>20</v>
      </c>
      <c r="BA26" s="15">
        <f t="shared" si="26"/>
        <v>0</v>
      </c>
      <c r="BB26" s="26">
        <f t="shared" si="27"/>
        <v>0</v>
      </c>
      <c r="BC26" s="26">
        <f>VLOOKUP($AO26,TAB,91,FALSE)</f>
        <v>0</v>
      </c>
      <c r="BD26" s="26">
        <f t="shared" si="28"/>
        <v>0</v>
      </c>
      <c r="BE26" s="25">
        <v>314</v>
      </c>
      <c r="BF26" s="11" t="str">
        <f t="shared" si="29"/>
        <v>Ачимов Павел Викторович
Алчебаев Николай Юрьевич</v>
      </c>
      <c r="BG26" s="11" t="str">
        <f t="shared" si="30"/>
        <v>Екатеринбург
Екатеринбург</v>
      </c>
      <c r="BH26" s="11" t="str">
        <f t="shared" si="31"/>
        <v>Jeep Cherokee Wagoner</v>
      </c>
      <c r="BI26" s="15">
        <f t="shared" si="32"/>
        <v>0</v>
      </c>
      <c r="BJ26" s="26">
        <f t="shared" si="33"/>
        <v>0</v>
      </c>
      <c r="BK26" s="26">
        <f t="shared" si="34"/>
        <v>0</v>
      </c>
      <c r="BL26" s="26">
        <f t="shared" si="35"/>
        <v>0</v>
      </c>
      <c r="BM26" s="15">
        <f t="shared" si="36"/>
        <v>0</v>
      </c>
      <c r="BN26" s="26">
        <f t="shared" si="37"/>
        <v>0</v>
      </c>
      <c r="BO26" s="26">
        <f t="shared" si="38"/>
        <v>0</v>
      </c>
      <c r="BP26" s="26">
        <f t="shared" si="39"/>
        <v>0</v>
      </c>
      <c r="BQ26" s="15">
        <f t="shared" si="40"/>
        <v>8.8638888888888882E-3</v>
      </c>
      <c r="BR26" s="26">
        <f t="shared" si="41"/>
        <v>0</v>
      </c>
      <c r="BS26" s="26">
        <f t="shared" si="42"/>
        <v>69</v>
      </c>
      <c r="BT26" s="26">
        <f t="shared" si="43"/>
        <v>69</v>
      </c>
      <c r="BU26" s="25">
        <v>314</v>
      </c>
      <c r="BV26" s="11" t="str">
        <f t="shared" si="44"/>
        <v>Ачимов Павел Викторович
Алчебаев Николай Юрьевич</v>
      </c>
      <c r="BW26" s="11" t="str">
        <f t="shared" si="45"/>
        <v>Екатеринбург
Екатеринбург</v>
      </c>
      <c r="BX26" s="11" t="str">
        <f t="shared" si="46"/>
        <v>Jeep Cherokee Wagoner</v>
      </c>
      <c r="BY26" s="15" t="str">
        <f t="shared" si="47"/>
        <v>DNF</v>
      </c>
      <c r="BZ26" s="26">
        <f t="shared" si="48"/>
        <v>0</v>
      </c>
      <c r="CA26" s="26">
        <f t="shared" si="49"/>
        <v>20</v>
      </c>
      <c r="CB26" s="26">
        <f t="shared" si="50"/>
        <v>20</v>
      </c>
      <c r="CC26" s="15">
        <f t="shared" si="51"/>
        <v>9.1435185185185185E-4</v>
      </c>
      <c r="CD26" s="26">
        <f t="shared" si="52"/>
        <v>0</v>
      </c>
      <c r="CE26" s="26">
        <f t="shared" si="53"/>
        <v>100</v>
      </c>
      <c r="CF26" s="26">
        <f t="shared" si="54"/>
        <v>100</v>
      </c>
      <c r="CG26" s="15">
        <f t="shared" si="55"/>
        <v>7.4537037037037028E-3</v>
      </c>
      <c r="CH26" s="26">
        <f t="shared" si="56"/>
        <v>0</v>
      </c>
      <c r="CI26" s="26">
        <f t="shared" si="57"/>
        <v>81</v>
      </c>
      <c r="CJ26" s="26">
        <f t="shared" si="58"/>
        <v>81</v>
      </c>
      <c r="CK26" s="25">
        <v>314</v>
      </c>
      <c r="CL26" s="11" t="str">
        <f t="shared" si="59"/>
        <v>Ачимов Павел Викторович
Алчебаев Николай Юрьевич</v>
      </c>
      <c r="CM26" s="11" t="str">
        <f t="shared" si="60"/>
        <v>Екатеринбург
Екатеринбург</v>
      </c>
      <c r="CN26" s="11" t="str">
        <f t="shared" si="61"/>
        <v>Jeep Cherokee Wagoner</v>
      </c>
      <c r="CO26" s="15" t="str">
        <f t="shared" si="62"/>
        <v>DNF</v>
      </c>
      <c r="CP26" s="26">
        <f t="shared" si="63"/>
        <v>0</v>
      </c>
      <c r="CQ26" s="26">
        <f t="shared" si="64"/>
        <v>20</v>
      </c>
      <c r="CR26" s="26">
        <f t="shared" si="65"/>
        <v>20</v>
      </c>
      <c r="CS26" s="15" t="str">
        <f t="shared" si="66"/>
        <v>DNF</v>
      </c>
      <c r="CT26" s="26">
        <f t="shared" si="67"/>
        <v>0</v>
      </c>
      <c r="CU26" s="26">
        <f t="shared" si="68"/>
        <v>20</v>
      </c>
      <c r="CV26" s="26">
        <f t="shared" si="69"/>
        <v>20</v>
      </c>
      <c r="CW26" s="15">
        <f t="shared" si="70"/>
        <v>0</v>
      </c>
      <c r="CX26" s="26">
        <f t="shared" si="71"/>
        <v>0</v>
      </c>
      <c r="CY26" s="26">
        <f t="shared" si="72"/>
        <v>0</v>
      </c>
      <c r="CZ26" s="26">
        <f t="shared" si="73"/>
        <v>0</v>
      </c>
      <c r="DA26" s="11">
        <f t="shared" si="74"/>
        <v>639</v>
      </c>
    </row>
    <row r="27" spans="1:105" s="6" customFormat="1" ht="60" x14ac:dyDescent="0.25">
      <c r="A27" s="25">
        <v>315</v>
      </c>
      <c r="B27" s="11" t="str">
        <f>VLOOKUP($A27,TAB,2,FALSE)</f>
        <v>Чуешов Дмитрий Александрович
Глебов Дмитрий Владимирович</v>
      </c>
      <c r="C27" s="11" t="str">
        <f>VLOOKUP($A27,TAB,4,FALSE)</f>
        <v>Екатеринбург
Екатеринбург</v>
      </c>
      <c r="D27" s="11" t="str">
        <f>VLOOKUP($A27,TAB,5,FALSE)</f>
        <v>УАЗ-469</v>
      </c>
      <c r="E27" s="15">
        <f>VLOOKUP($A27,TAB,8,FALSE)</f>
        <v>9.8148148148148144E-3</v>
      </c>
      <c r="F27" s="26"/>
      <c r="G27" s="26">
        <f>VLOOKUP($A27,TAB,70,FALSE)</f>
        <v>87</v>
      </c>
      <c r="H27" s="26">
        <f>VLOOKUP($A27,TAB,101,FALSE)</f>
        <v>87</v>
      </c>
      <c r="I27" s="69"/>
      <c r="J27" s="70"/>
      <c r="K27" s="70"/>
      <c r="L27" s="70"/>
      <c r="M27" s="71"/>
      <c r="N27" s="70"/>
      <c r="O27" s="70"/>
      <c r="P27" s="70"/>
      <c r="Q27" s="25">
        <v>315</v>
      </c>
      <c r="R27" s="11" t="str">
        <f t="shared" si="0"/>
        <v>Чуешов Дмитрий Александрович
Глебов Дмитрий Владимирович</v>
      </c>
      <c r="S27" s="11" t="str">
        <f t="shared" si="1"/>
        <v>Екатеринбург
Екатеринбург</v>
      </c>
      <c r="T27" s="11" t="str">
        <f t="shared" si="2"/>
        <v>УАЗ-469</v>
      </c>
      <c r="U27" s="15">
        <f>VLOOKUP($Q27,TAB,22,FALSE)</f>
        <v>4.9174768518518517E-3</v>
      </c>
      <c r="V27" s="26">
        <f>VLOOKUP($Q27,TAB,52,FALSE)</f>
        <v>0</v>
      </c>
      <c r="W27" s="26">
        <f>VLOOKUP($Q27,TAB,84,FALSE)</f>
        <v>69</v>
      </c>
      <c r="X27" s="26">
        <f>VLOOKUP($Q27,TAB,115,FALSE)</f>
        <v>69</v>
      </c>
      <c r="Y27" s="15" t="str">
        <f>VLOOKUP($Q27,TAB,23,FALSE)</f>
        <v>DNF</v>
      </c>
      <c r="Z27" s="26">
        <f>VLOOKUP($Q27,TAB,53,FALSE)</f>
        <v>0</v>
      </c>
      <c r="AA27" s="26">
        <f>VLOOKUP($Q27,TAB,85,FALSE)</f>
        <v>20</v>
      </c>
      <c r="AB27" s="26">
        <f>VLOOKUP($Q27,TAB,116,FALSE)</f>
        <v>20</v>
      </c>
      <c r="AC27" s="15" t="str">
        <f t="shared" si="3"/>
        <v>DNF</v>
      </c>
      <c r="AD27" s="26">
        <f t="shared" si="4"/>
        <v>0</v>
      </c>
      <c r="AE27" s="26">
        <f t="shared" si="5"/>
        <v>20</v>
      </c>
      <c r="AF27" s="26">
        <f t="shared" si="6"/>
        <v>20</v>
      </c>
      <c r="AG27" s="15">
        <f t="shared" si="7"/>
        <v>3.9467592592592592E-3</v>
      </c>
      <c r="AH27" s="26">
        <f t="shared" si="8"/>
        <v>0</v>
      </c>
      <c r="AI27" s="26">
        <f t="shared" si="9"/>
        <v>69</v>
      </c>
      <c r="AJ27" s="26">
        <f t="shared" si="10"/>
        <v>69</v>
      </c>
      <c r="AK27" s="15">
        <f t="shared" si="11"/>
        <v>7.771643518518518E-3</v>
      </c>
      <c r="AL27" s="26">
        <f t="shared" si="12"/>
        <v>0</v>
      </c>
      <c r="AM27" s="26">
        <f t="shared" si="13"/>
        <v>87</v>
      </c>
      <c r="AN27" s="26">
        <f t="shared" si="14"/>
        <v>87</v>
      </c>
      <c r="AO27" s="25">
        <v>315</v>
      </c>
      <c r="AP27" s="11" t="str">
        <f t="shared" si="15"/>
        <v>Чуешов Дмитрий Александрович
Глебов Дмитрий Владимирович</v>
      </c>
      <c r="AQ27" s="11" t="str">
        <f t="shared" si="16"/>
        <v>Екатеринбург
Екатеринбург</v>
      </c>
      <c r="AR27" s="11">
        <f t="shared" si="17"/>
        <v>0</v>
      </c>
      <c r="AS27" s="15" t="str">
        <f t="shared" si="18"/>
        <v>DNF</v>
      </c>
      <c r="AT27" s="26">
        <f t="shared" si="19"/>
        <v>0</v>
      </c>
      <c r="AU27" s="26">
        <f t="shared" si="20"/>
        <v>20</v>
      </c>
      <c r="AV27" s="26">
        <f t="shared" si="21"/>
        <v>20</v>
      </c>
      <c r="AW27" s="15" t="str">
        <f t="shared" si="22"/>
        <v>DNF</v>
      </c>
      <c r="AX27" s="26">
        <f t="shared" si="23"/>
        <v>0</v>
      </c>
      <c r="AY27" s="26">
        <f t="shared" si="24"/>
        <v>20</v>
      </c>
      <c r="AZ27" s="26">
        <f t="shared" si="25"/>
        <v>20</v>
      </c>
      <c r="BA27" s="15" t="str">
        <f t="shared" si="26"/>
        <v>DNF</v>
      </c>
      <c r="BB27" s="26">
        <f t="shared" si="27"/>
        <v>0</v>
      </c>
      <c r="BC27" s="26">
        <f>VLOOKUP($AO27,TAB,91,FALSE)</f>
        <v>20</v>
      </c>
      <c r="BD27" s="26">
        <f t="shared" si="28"/>
        <v>20</v>
      </c>
      <c r="BE27" s="25">
        <v>315</v>
      </c>
      <c r="BF27" s="11" t="str">
        <f t="shared" si="29"/>
        <v>Чуешов Дмитрий Александрович
Глебов Дмитрий Владимирович</v>
      </c>
      <c r="BG27" s="11" t="str">
        <f t="shared" si="30"/>
        <v>Екатеринбург
Екатеринбург</v>
      </c>
      <c r="BH27" s="11" t="str">
        <f t="shared" si="31"/>
        <v>УАЗ-469</v>
      </c>
      <c r="BI27" s="15" t="str">
        <f t="shared" si="32"/>
        <v>DNF</v>
      </c>
      <c r="BJ27" s="26">
        <f t="shared" si="33"/>
        <v>0</v>
      </c>
      <c r="BK27" s="26">
        <f t="shared" si="34"/>
        <v>20</v>
      </c>
      <c r="BL27" s="26">
        <f t="shared" si="35"/>
        <v>20</v>
      </c>
      <c r="BM27" s="15">
        <f t="shared" si="36"/>
        <v>2.2021990740740739E-3</v>
      </c>
      <c r="BN27" s="26">
        <f t="shared" si="37"/>
        <v>0</v>
      </c>
      <c r="BO27" s="26">
        <f t="shared" si="38"/>
        <v>95</v>
      </c>
      <c r="BP27" s="26">
        <f t="shared" si="39"/>
        <v>95</v>
      </c>
      <c r="BQ27" s="15" t="str">
        <f t="shared" si="40"/>
        <v>DNF</v>
      </c>
      <c r="BR27" s="26">
        <f t="shared" si="41"/>
        <v>0</v>
      </c>
      <c r="BS27" s="26">
        <f t="shared" si="42"/>
        <v>20</v>
      </c>
      <c r="BT27" s="26">
        <f t="shared" si="43"/>
        <v>20</v>
      </c>
      <c r="BU27" s="25">
        <v>315</v>
      </c>
      <c r="BV27" s="11" t="str">
        <f t="shared" si="44"/>
        <v>Чуешов Дмитрий Александрович
Глебов Дмитрий Владимирович</v>
      </c>
      <c r="BW27" s="11" t="str">
        <f t="shared" si="45"/>
        <v>Екатеринбург
Екатеринбург</v>
      </c>
      <c r="BX27" s="11" t="str">
        <f t="shared" si="46"/>
        <v>УАЗ-469</v>
      </c>
      <c r="BY27" s="15" t="str">
        <f t="shared" si="47"/>
        <v>DNF</v>
      </c>
      <c r="BZ27" s="26">
        <f t="shared" si="48"/>
        <v>0</v>
      </c>
      <c r="CA27" s="26">
        <f t="shared" si="49"/>
        <v>20</v>
      </c>
      <c r="CB27" s="26">
        <f t="shared" si="50"/>
        <v>20</v>
      </c>
      <c r="CC27" s="15">
        <f t="shared" si="51"/>
        <v>2.4189814814814816E-3</v>
      </c>
      <c r="CD27" s="26">
        <f t="shared" si="52"/>
        <v>30</v>
      </c>
      <c r="CE27" s="26">
        <f t="shared" si="53"/>
        <v>78</v>
      </c>
      <c r="CF27" s="26">
        <f t="shared" si="54"/>
        <v>48</v>
      </c>
      <c r="CG27" s="15" t="str">
        <f t="shared" si="55"/>
        <v>DNF</v>
      </c>
      <c r="CH27" s="26">
        <f t="shared" si="56"/>
        <v>0</v>
      </c>
      <c r="CI27" s="26">
        <f t="shared" si="57"/>
        <v>20</v>
      </c>
      <c r="CJ27" s="26">
        <f t="shared" si="58"/>
        <v>20</v>
      </c>
      <c r="CK27" s="25">
        <v>315</v>
      </c>
      <c r="CL27" s="11" t="str">
        <f t="shared" si="59"/>
        <v>Чуешов Дмитрий Александрович
Глебов Дмитрий Владимирович</v>
      </c>
      <c r="CM27" s="11" t="str">
        <f t="shared" si="60"/>
        <v>Екатеринбург
Екатеринбург</v>
      </c>
      <c r="CN27" s="11" t="str">
        <f t="shared" si="61"/>
        <v>УАЗ-469</v>
      </c>
      <c r="CO27" s="15" t="str">
        <f t="shared" si="62"/>
        <v>DNF</v>
      </c>
      <c r="CP27" s="26">
        <f t="shared" si="63"/>
        <v>0</v>
      </c>
      <c r="CQ27" s="26">
        <f t="shared" si="64"/>
        <v>20</v>
      </c>
      <c r="CR27" s="26">
        <f t="shared" si="65"/>
        <v>20</v>
      </c>
      <c r="CS27" s="15" t="str">
        <f t="shared" si="66"/>
        <v>DNF</v>
      </c>
      <c r="CT27" s="26">
        <f t="shared" si="67"/>
        <v>0</v>
      </c>
      <c r="CU27" s="26">
        <f t="shared" si="68"/>
        <v>20</v>
      </c>
      <c r="CV27" s="26">
        <f t="shared" si="69"/>
        <v>20</v>
      </c>
      <c r="CW27" s="15">
        <f t="shared" si="70"/>
        <v>0</v>
      </c>
      <c r="CX27" s="26">
        <f t="shared" si="71"/>
        <v>0</v>
      </c>
      <c r="CY27" s="26">
        <f t="shared" si="72"/>
        <v>0</v>
      </c>
      <c r="CZ27" s="26">
        <f t="shared" si="73"/>
        <v>0</v>
      </c>
      <c r="DA27" s="11">
        <f t="shared" si="74"/>
        <v>675</v>
      </c>
    </row>
    <row r="28" spans="1:105" s="6" customFormat="1" ht="60" x14ac:dyDescent="0.25">
      <c r="A28" s="25">
        <v>316</v>
      </c>
      <c r="B28" s="11" t="str">
        <f>VLOOKUP($A28,TAB,2,FALSE)</f>
        <v>Сумин Андрей Станиславович
Петров Сергей Александрович</v>
      </c>
      <c r="C28" s="11" t="str">
        <f>VLOOKUP($A28,TAB,4,FALSE)</f>
        <v>Челябинск
Челябинск</v>
      </c>
      <c r="D28" s="11" t="str">
        <f>VLOOKUP($A28,TAB,5,FALSE)</f>
        <v>ВАЗ 2121</v>
      </c>
      <c r="E28" s="15">
        <f>VLOOKUP($A28,TAB,8,FALSE)</f>
        <v>9.8958333333333329E-3</v>
      </c>
      <c r="F28" s="26"/>
      <c r="G28" s="26">
        <f>VLOOKUP($A28,TAB,70,FALSE)</f>
        <v>84</v>
      </c>
      <c r="H28" s="26">
        <f>VLOOKUP($A28,TAB,101,FALSE)</f>
        <v>84</v>
      </c>
      <c r="I28" s="69"/>
      <c r="J28" s="70"/>
      <c r="K28" s="70"/>
      <c r="L28" s="70"/>
      <c r="M28" s="71"/>
      <c r="N28" s="70"/>
      <c r="O28" s="70"/>
      <c r="P28" s="70"/>
      <c r="Q28" s="25">
        <v>316</v>
      </c>
      <c r="R28" s="11" t="str">
        <f t="shared" si="0"/>
        <v>Сумин Андрей Станиславович
Петров Сергей Александрович</v>
      </c>
      <c r="S28" s="11" t="str">
        <f t="shared" si="1"/>
        <v>Челябинск
Челябинск</v>
      </c>
      <c r="T28" s="11" t="str">
        <f t="shared" si="2"/>
        <v>ВАЗ 2121</v>
      </c>
      <c r="U28" s="15">
        <f>VLOOKUP($Q28,TAB,22,FALSE)</f>
        <v>0</v>
      </c>
      <c r="V28" s="26">
        <f>VLOOKUP($Q28,TAB,52,FALSE)</f>
        <v>0</v>
      </c>
      <c r="W28" s="26">
        <f>VLOOKUP($Q28,TAB,84,FALSE)</f>
        <v>0</v>
      </c>
      <c r="X28" s="26">
        <f>VLOOKUP($Q28,TAB,115,FALSE)</f>
        <v>0</v>
      </c>
      <c r="Y28" s="15">
        <f>VLOOKUP($Q28,TAB,23,FALSE)</f>
        <v>0</v>
      </c>
      <c r="Z28" s="26">
        <f>VLOOKUP($Q28,TAB,53,FALSE)</f>
        <v>0</v>
      </c>
      <c r="AA28" s="26">
        <f>VLOOKUP($Q28,TAB,85,FALSE)</f>
        <v>0</v>
      </c>
      <c r="AB28" s="26">
        <f>VLOOKUP($Q28,TAB,116,FALSE)</f>
        <v>0</v>
      </c>
      <c r="AC28" s="15" t="str">
        <f t="shared" si="3"/>
        <v>DNF</v>
      </c>
      <c r="AD28" s="26">
        <f t="shared" si="4"/>
        <v>0</v>
      </c>
      <c r="AE28" s="26">
        <f t="shared" si="5"/>
        <v>20</v>
      </c>
      <c r="AF28" s="26">
        <f t="shared" si="6"/>
        <v>20</v>
      </c>
      <c r="AG28" s="15">
        <f t="shared" si="7"/>
        <v>0</v>
      </c>
      <c r="AH28" s="26">
        <f t="shared" si="8"/>
        <v>0</v>
      </c>
      <c r="AI28" s="26">
        <f t="shared" si="9"/>
        <v>0</v>
      </c>
      <c r="AJ28" s="26">
        <f t="shared" si="10"/>
        <v>0</v>
      </c>
      <c r="AK28" s="15">
        <f t="shared" si="11"/>
        <v>0</v>
      </c>
      <c r="AL28" s="26">
        <f t="shared" si="12"/>
        <v>0</v>
      </c>
      <c r="AM28" s="26">
        <f t="shared" si="13"/>
        <v>0</v>
      </c>
      <c r="AN28" s="26">
        <f t="shared" si="14"/>
        <v>0</v>
      </c>
      <c r="AO28" s="25">
        <v>316</v>
      </c>
      <c r="AP28" s="11" t="str">
        <f t="shared" si="15"/>
        <v>Сумин Андрей Станиславович
Петров Сергей Александрович</v>
      </c>
      <c r="AQ28" s="11" t="str">
        <f t="shared" si="16"/>
        <v>Челябинск
Челябинск</v>
      </c>
      <c r="AR28" s="11">
        <f t="shared" si="17"/>
        <v>0</v>
      </c>
      <c r="AS28" s="15">
        <f t="shared" si="18"/>
        <v>0</v>
      </c>
      <c r="AT28" s="26">
        <f t="shared" si="19"/>
        <v>0</v>
      </c>
      <c r="AU28" s="26">
        <f t="shared" si="20"/>
        <v>0</v>
      </c>
      <c r="AV28" s="26">
        <f t="shared" si="21"/>
        <v>0</v>
      </c>
      <c r="AW28" s="15">
        <f t="shared" si="22"/>
        <v>0</v>
      </c>
      <c r="AX28" s="26">
        <f t="shared" si="23"/>
        <v>0</v>
      </c>
      <c r="AY28" s="26">
        <f t="shared" si="24"/>
        <v>0</v>
      </c>
      <c r="AZ28" s="26">
        <f t="shared" si="25"/>
        <v>0</v>
      </c>
      <c r="BA28" s="15">
        <f t="shared" si="26"/>
        <v>0</v>
      </c>
      <c r="BB28" s="26">
        <f t="shared" si="27"/>
        <v>0</v>
      </c>
      <c r="BC28" s="26">
        <f>VLOOKUP($AO28,TAB,91,FALSE)</f>
        <v>0</v>
      </c>
      <c r="BD28" s="26">
        <f t="shared" si="28"/>
        <v>0</v>
      </c>
      <c r="BE28" s="25">
        <v>316</v>
      </c>
      <c r="BF28" s="11" t="str">
        <f t="shared" si="29"/>
        <v>Сумин Андрей Станиславович
Петров Сергей Александрович</v>
      </c>
      <c r="BG28" s="11" t="str">
        <f t="shared" si="30"/>
        <v>Челябинск
Челябинск</v>
      </c>
      <c r="BH28" s="11" t="str">
        <f t="shared" si="31"/>
        <v>ВАЗ 2121</v>
      </c>
      <c r="BI28" s="15" t="str">
        <f t="shared" si="32"/>
        <v>DNF</v>
      </c>
      <c r="BJ28" s="26">
        <f t="shared" si="33"/>
        <v>0</v>
      </c>
      <c r="BK28" s="26">
        <f t="shared" si="34"/>
        <v>20</v>
      </c>
      <c r="BL28" s="26">
        <f t="shared" si="35"/>
        <v>20</v>
      </c>
      <c r="BM28" s="15">
        <f t="shared" si="36"/>
        <v>0</v>
      </c>
      <c r="BN28" s="26">
        <f t="shared" si="37"/>
        <v>0</v>
      </c>
      <c r="BO28" s="26">
        <f t="shared" si="38"/>
        <v>0</v>
      </c>
      <c r="BP28" s="26">
        <f t="shared" si="39"/>
        <v>0</v>
      </c>
      <c r="BQ28" s="15">
        <f t="shared" si="40"/>
        <v>0</v>
      </c>
      <c r="BR28" s="26">
        <f t="shared" si="41"/>
        <v>0</v>
      </c>
      <c r="BS28" s="26">
        <f t="shared" si="42"/>
        <v>0</v>
      </c>
      <c r="BT28" s="26">
        <f t="shared" si="43"/>
        <v>0</v>
      </c>
      <c r="BU28" s="25">
        <v>316</v>
      </c>
      <c r="BV28" s="11" t="str">
        <f t="shared" si="44"/>
        <v>Сумин Андрей Станиславович
Петров Сергей Александрович</v>
      </c>
      <c r="BW28" s="11" t="str">
        <f t="shared" si="45"/>
        <v>Челябинск
Челябинск</v>
      </c>
      <c r="BX28" s="11" t="str">
        <f t="shared" si="46"/>
        <v>ВАЗ 2121</v>
      </c>
      <c r="BY28" s="15">
        <f t="shared" si="47"/>
        <v>0</v>
      </c>
      <c r="BZ28" s="26">
        <f t="shared" si="48"/>
        <v>0</v>
      </c>
      <c r="CA28" s="26">
        <f t="shared" si="49"/>
        <v>0</v>
      </c>
      <c r="CB28" s="26">
        <f t="shared" si="50"/>
        <v>0</v>
      </c>
      <c r="CC28" s="15" t="str">
        <f t="shared" si="51"/>
        <v>DNF</v>
      </c>
      <c r="CD28" s="26">
        <f t="shared" si="52"/>
        <v>0</v>
      </c>
      <c r="CE28" s="26">
        <f t="shared" si="53"/>
        <v>20</v>
      </c>
      <c r="CF28" s="26">
        <f t="shared" si="54"/>
        <v>20</v>
      </c>
      <c r="CG28" s="15">
        <f t="shared" si="55"/>
        <v>9.0277777777777787E-3</v>
      </c>
      <c r="CH28" s="26">
        <f t="shared" si="56"/>
        <v>0</v>
      </c>
      <c r="CI28" s="26">
        <f t="shared" si="57"/>
        <v>78</v>
      </c>
      <c r="CJ28" s="26">
        <f t="shared" si="58"/>
        <v>78</v>
      </c>
      <c r="CK28" s="25">
        <v>316</v>
      </c>
      <c r="CL28" s="11" t="str">
        <f t="shared" si="59"/>
        <v>Сумин Андрей Станиславович
Петров Сергей Александрович</v>
      </c>
      <c r="CM28" s="11" t="str">
        <f t="shared" si="60"/>
        <v>Челябинск
Челябинск</v>
      </c>
      <c r="CN28" s="11" t="str">
        <f t="shared" si="61"/>
        <v>ВАЗ 2121</v>
      </c>
      <c r="CO28" s="15">
        <f t="shared" si="62"/>
        <v>0</v>
      </c>
      <c r="CP28" s="26">
        <f t="shared" si="63"/>
        <v>0</v>
      </c>
      <c r="CQ28" s="26">
        <f t="shared" si="64"/>
        <v>0</v>
      </c>
      <c r="CR28" s="26">
        <f t="shared" si="65"/>
        <v>0</v>
      </c>
      <c r="CS28" s="15">
        <f t="shared" si="66"/>
        <v>0</v>
      </c>
      <c r="CT28" s="26">
        <f t="shared" si="67"/>
        <v>0</v>
      </c>
      <c r="CU28" s="26">
        <f t="shared" si="68"/>
        <v>0</v>
      </c>
      <c r="CV28" s="26">
        <f t="shared" si="69"/>
        <v>0</v>
      </c>
      <c r="CW28" s="15">
        <f t="shared" si="70"/>
        <v>0</v>
      </c>
      <c r="CX28" s="26">
        <f t="shared" si="71"/>
        <v>0</v>
      </c>
      <c r="CY28" s="26">
        <f t="shared" si="72"/>
        <v>0</v>
      </c>
      <c r="CZ28" s="26">
        <f t="shared" si="73"/>
        <v>0</v>
      </c>
      <c r="DA28" s="11">
        <f t="shared" si="74"/>
        <v>222</v>
      </c>
    </row>
    <row r="29" spans="1:105" s="6" customFormat="1" ht="60" x14ac:dyDescent="0.25">
      <c r="A29" s="25">
        <v>317</v>
      </c>
      <c r="B29" s="11" t="str">
        <f>VLOOKUP($A29,TAB,2,FALSE)</f>
        <v>Костромин Сергей Михайлович
Кольцов Виктор Александрович</v>
      </c>
      <c r="C29" s="11" t="str">
        <f>VLOOKUP($A29,TAB,4,FALSE)</f>
        <v>В. Пышма
В. Пышма</v>
      </c>
      <c r="D29" s="11" t="str">
        <f>VLOOKUP($A29,TAB,5,FALSE)</f>
        <v>УАЗ-31512</v>
      </c>
      <c r="E29" s="15">
        <f>VLOOKUP($A29,TAB,8,FALSE)</f>
        <v>1.1018518518518518E-2</v>
      </c>
      <c r="F29" s="26"/>
      <c r="G29" s="26">
        <f>VLOOKUP($A29,TAB,70,FALSE)</f>
        <v>81</v>
      </c>
      <c r="H29" s="26">
        <f>VLOOKUP($A29,TAB,101,FALSE)</f>
        <v>81</v>
      </c>
      <c r="I29" s="69"/>
      <c r="J29" s="70"/>
      <c r="K29" s="70"/>
      <c r="L29" s="70"/>
      <c r="M29" s="71"/>
      <c r="N29" s="70"/>
      <c r="O29" s="70"/>
      <c r="P29" s="70"/>
      <c r="Q29" s="25">
        <v>317</v>
      </c>
      <c r="R29" s="11" t="str">
        <f t="shared" si="0"/>
        <v>Костромин Сергей Михайлович
Кольцов Виктор Александрович</v>
      </c>
      <c r="S29" s="11" t="str">
        <f t="shared" si="1"/>
        <v>В. Пышма
В. Пышма</v>
      </c>
      <c r="T29" s="11" t="str">
        <f t="shared" si="2"/>
        <v>УАЗ-31512</v>
      </c>
      <c r="U29" s="15" t="str">
        <f>VLOOKUP($Q29,TAB,22,FALSE)</f>
        <v>DNF</v>
      </c>
      <c r="V29" s="26">
        <f>VLOOKUP($Q29,TAB,52,FALSE)</f>
        <v>0</v>
      </c>
      <c r="W29" s="26">
        <f>VLOOKUP($Q29,TAB,84,FALSE)</f>
        <v>20</v>
      </c>
      <c r="X29" s="26">
        <f>VLOOKUP($Q29,TAB,115,FALSE)</f>
        <v>20</v>
      </c>
      <c r="Y29" s="15" t="str">
        <f>VLOOKUP($Q29,TAB,23,FALSE)</f>
        <v>DNF</v>
      </c>
      <c r="Z29" s="26">
        <f>VLOOKUP($Q29,TAB,53,FALSE)</f>
        <v>0</v>
      </c>
      <c r="AA29" s="26">
        <f>VLOOKUP($Q29,TAB,85,FALSE)</f>
        <v>20</v>
      </c>
      <c r="AB29" s="26">
        <f>VLOOKUP($Q29,TAB,116,FALSE)</f>
        <v>20</v>
      </c>
      <c r="AC29" s="15" t="str">
        <f t="shared" si="3"/>
        <v>DNF</v>
      </c>
      <c r="AD29" s="26">
        <f t="shared" si="4"/>
        <v>0</v>
      </c>
      <c r="AE29" s="26">
        <f t="shared" si="5"/>
        <v>20</v>
      </c>
      <c r="AF29" s="26">
        <f t="shared" si="6"/>
        <v>20</v>
      </c>
      <c r="AG29" s="15" t="str">
        <f t="shared" si="7"/>
        <v>DNF</v>
      </c>
      <c r="AH29" s="26">
        <f t="shared" si="8"/>
        <v>0</v>
      </c>
      <c r="AI29" s="26">
        <f t="shared" si="9"/>
        <v>20</v>
      </c>
      <c r="AJ29" s="26">
        <f t="shared" si="10"/>
        <v>20</v>
      </c>
      <c r="AK29" s="15" t="str">
        <f t="shared" si="11"/>
        <v>DNF</v>
      </c>
      <c r="AL29" s="26">
        <f t="shared" si="12"/>
        <v>0</v>
      </c>
      <c r="AM29" s="26">
        <f t="shared" si="13"/>
        <v>20</v>
      </c>
      <c r="AN29" s="26">
        <f t="shared" si="14"/>
        <v>20</v>
      </c>
      <c r="AO29" s="25">
        <v>317</v>
      </c>
      <c r="AP29" s="11" t="str">
        <f t="shared" si="15"/>
        <v>Костромин Сергей Михайлович
Кольцов Виктор Александрович</v>
      </c>
      <c r="AQ29" s="11" t="str">
        <f t="shared" si="16"/>
        <v>В. Пышма
В. Пышма</v>
      </c>
      <c r="AR29" s="11">
        <f t="shared" si="17"/>
        <v>0</v>
      </c>
      <c r="AS29" s="15">
        <f t="shared" si="18"/>
        <v>3.2986111111111111E-3</v>
      </c>
      <c r="AT29" s="26">
        <f t="shared" si="19"/>
        <v>0</v>
      </c>
      <c r="AU29" s="26">
        <f t="shared" si="20"/>
        <v>90</v>
      </c>
      <c r="AV29" s="26">
        <f t="shared" si="21"/>
        <v>90</v>
      </c>
      <c r="AW29" s="15">
        <f t="shared" si="22"/>
        <v>3.0902777777777782E-3</v>
      </c>
      <c r="AX29" s="26">
        <f t="shared" si="23"/>
        <v>0</v>
      </c>
      <c r="AY29" s="26">
        <f t="shared" si="24"/>
        <v>95</v>
      </c>
      <c r="AZ29" s="26">
        <f t="shared" si="25"/>
        <v>95</v>
      </c>
      <c r="BA29" s="15" t="str">
        <f t="shared" si="26"/>
        <v>DNF</v>
      </c>
      <c r="BB29" s="26">
        <f t="shared" si="27"/>
        <v>0</v>
      </c>
      <c r="BC29" s="26">
        <f>VLOOKUP($AO29,TAB,91,FALSE)</f>
        <v>20</v>
      </c>
      <c r="BD29" s="26">
        <f t="shared" si="28"/>
        <v>20</v>
      </c>
      <c r="BE29" s="25">
        <v>317</v>
      </c>
      <c r="BF29" s="11" t="str">
        <f t="shared" si="29"/>
        <v>Костромин Сергей Михайлович
Кольцов Виктор Александрович</v>
      </c>
      <c r="BG29" s="11" t="str">
        <f t="shared" si="30"/>
        <v>В. Пышма
В. Пышма</v>
      </c>
      <c r="BH29" s="11" t="str">
        <f t="shared" si="31"/>
        <v>УАЗ-31512</v>
      </c>
      <c r="BI29" s="15" t="str">
        <f t="shared" si="32"/>
        <v>DNF</v>
      </c>
      <c r="BJ29" s="26">
        <f t="shared" si="33"/>
        <v>0</v>
      </c>
      <c r="BK29" s="26">
        <f t="shared" si="34"/>
        <v>20</v>
      </c>
      <c r="BL29" s="26">
        <f t="shared" si="35"/>
        <v>20</v>
      </c>
      <c r="BM29" s="15">
        <f t="shared" si="36"/>
        <v>2.8356481481481479E-3</v>
      </c>
      <c r="BN29" s="26">
        <f t="shared" si="37"/>
        <v>0</v>
      </c>
      <c r="BO29" s="26">
        <f t="shared" si="38"/>
        <v>84</v>
      </c>
      <c r="BP29" s="26">
        <f t="shared" si="39"/>
        <v>84</v>
      </c>
      <c r="BQ29" s="15">
        <f t="shared" si="40"/>
        <v>1.2618055555555557E-3</v>
      </c>
      <c r="BR29" s="26">
        <f t="shared" si="41"/>
        <v>10</v>
      </c>
      <c r="BS29" s="26">
        <f t="shared" si="42"/>
        <v>95</v>
      </c>
      <c r="BT29" s="26">
        <f t="shared" si="43"/>
        <v>85</v>
      </c>
      <c r="BU29" s="25">
        <v>317</v>
      </c>
      <c r="BV29" s="11" t="str">
        <f t="shared" si="44"/>
        <v>Костромин Сергей Михайлович
Кольцов Виктор Александрович</v>
      </c>
      <c r="BW29" s="11" t="str">
        <f t="shared" si="45"/>
        <v>В. Пышма
В. Пышма</v>
      </c>
      <c r="BX29" s="11" t="str">
        <f t="shared" si="46"/>
        <v>УАЗ-31512</v>
      </c>
      <c r="BY29" s="15">
        <f t="shared" si="47"/>
        <v>4.8495370370370368E-3</v>
      </c>
      <c r="BZ29" s="26">
        <f t="shared" si="48"/>
        <v>10</v>
      </c>
      <c r="CA29" s="26">
        <f t="shared" si="49"/>
        <v>100</v>
      </c>
      <c r="CB29" s="26">
        <f t="shared" si="50"/>
        <v>90</v>
      </c>
      <c r="CC29" s="15">
        <f t="shared" si="51"/>
        <v>0</v>
      </c>
      <c r="CD29" s="26">
        <f t="shared" si="52"/>
        <v>0</v>
      </c>
      <c r="CE29" s="26">
        <f t="shared" si="53"/>
        <v>0</v>
      </c>
      <c r="CF29" s="26">
        <f t="shared" si="54"/>
        <v>0</v>
      </c>
      <c r="CG29" s="15">
        <f t="shared" si="55"/>
        <v>0</v>
      </c>
      <c r="CH29" s="26">
        <f t="shared" si="56"/>
        <v>0</v>
      </c>
      <c r="CI29" s="26">
        <f t="shared" si="57"/>
        <v>0</v>
      </c>
      <c r="CJ29" s="26">
        <f t="shared" si="58"/>
        <v>0</v>
      </c>
      <c r="CK29" s="25">
        <v>317</v>
      </c>
      <c r="CL29" s="11" t="str">
        <f t="shared" si="59"/>
        <v>Костромин Сергей Михайлович
Кольцов Виктор Александрович</v>
      </c>
      <c r="CM29" s="11" t="str">
        <f t="shared" si="60"/>
        <v>В. Пышма
В. Пышма</v>
      </c>
      <c r="CN29" s="11" t="str">
        <f t="shared" si="61"/>
        <v>УАЗ-31512</v>
      </c>
      <c r="CO29" s="15">
        <f t="shared" si="62"/>
        <v>0</v>
      </c>
      <c r="CP29" s="26">
        <f t="shared" si="63"/>
        <v>0</v>
      </c>
      <c r="CQ29" s="26">
        <f t="shared" si="64"/>
        <v>0</v>
      </c>
      <c r="CR29" s="26">
        <f t="shared" si="65"/>
        <v>0</v>
      </c>
      <c r="CS29" s="15" t="str">
        <f t="shared" si="66"/>
        <v>DNF</v>
      </c>
      <c r="CT29" s="26">
        <f t="shared" si="67"/>
        <v>0</v>
      </c>
      <c r="CU29" s="26">
        <f t="shared" si="68"/>
        <v>20</v>
      </c>
      <c r="CV29" s="26">
        <f t="shared" si="69"/>
        <v>20</v>
      </c>
      <c r="CW29" s="15">
        <f t="shared" si="70"/>
        <v>0</v>
      </c>
      <c r="CX29" s="26">
        <f t="shared" si="71"/>
        <v>0</v>
      </c>
      <c r="CY29" s="26">
        <f t="shared" si="72"/>
        <v>0</v>
      </c>
      <c r="CZ29" s="26">
        <f t="shared" si="73"/>
        <v>0</v>
      </c>
      <c r="DA29" s="11">
        <f t="shared" si="74"/>
        <v>685</v>
      </c>
    </row>
    <row r="30" spans="1:105" s="6" customFormat="1" ht="60" x14ac:dyDescent="0.25">
      <c r="A30" s="25">
        <v>318</v>
      </c>
      <c r="B30" s="11" t="str">
        <f>VLOOKUP($A30,TAB,2,FALSE)</f>
        <v>Осокин Михаил Сергеевич
Осокин Александр Сергеевич</v>
      </c>
      <c r="C30" s="11" t="str">
        <f>VLOOKUP($A30,TAB,4,FALSE)</f>
        <v>п. Восточный
п. Восточный</v>
      </c>
      <c r="D30" s="11" t="str">
        <f>VLOOKUP($A30,TAB,5,FALSE)</f>
        <v>УАЗ Пикап</v>
      </c>
      <c r="E30" s="15" t="str">
        <f>VLOOKUP($A30,TAB,8,FALSE)</f>
        <v>DNF</v>
      </c>
      <c r="F30" s="26"/>
      <c r="G30" s="26">
        <f>VLOOKUP($A30,TAB,70,FALSE)</f>
        <v>20</v>
      </c>
      <c r="H30" s="26">
        <f>VLOOKUP($A30,TAB,101,FALSE)</f>
        <v>20</v>
      </c>
      <c r="I30" s="69"/>
      <c r="J30" s="70"/>
      <c r="K30" s="70"/>
      <c r="L30" s="70"/>
      <c r="M30" s="71"/>
      <c r="N30" s="70"/>
      <c r="O30" s="70"/>
      <c r="P30" s="70"/>
      <c r="Q30" s="25">
        <v>318</v>
      </c>
      <c r="R30" s="11" t="str">
        <f t="shared" si="0"/>
        <v>Осокин Михаил Сергеевич
Осокин Александр Сергеевич</v>
      </c>
      <c r="S30" s="11" t="str">
        <f t="shared" si="1"/>
        <v>п. Восточный
п. Восточный</v>
      </c>
      <c r="T30" s="11" t="str">
        <f t="shared" si="2"/>
        <v>УАЗ Пикап</v>
      </c>
      <c r="U30" s="15">
        <f>VLOOKUP($Q30,TAB,22,FALSE)</f>
        <v>7.8493055555555555E-3</v>
      </c>
      <c r="V30" s="26">
        <f>VLOOKUP($Q30,TAB,52,FALSE)</f>
        <v>0</v>
      </c>
      <c r="W30" s="26">
        <f>VLOOKUP($Q30,TAB,84,FALSE)</f>
        <v>60</v>
      </c>
      <c r="X30" s="26">
        <f>VLOOKUP($Q30,TAB,115,FALSE)</f>
        <v>60</v>
      </c>
      <c r="Y30" s="15">
        <f>VLOOKUP($Q30,TAB,23,FALSE)</f>
        <v>0</v>
      </c>
      <c r="Z30" s="26">
        <f>VLOOKUP($Q30,TAB,53,FALSE)</f>
        <v>0</v>
      </c>
      <c r="AA30" s="26">
        <f>VLOOKUP($Q30,TAB,85,FALSE)</f>
        <v>0</v>
      </c>
      <c r="AB30" s="26">
        <f>VLOOKUP($Q30,TAB,116,FALSE)</f>
        <v>0</v>
      </c>
      <c r="AC30" s="15">
        <f t="shared" si="3"/>
        <v>0</v>
      </c>
      <c r="AD30" s="26">
        <f t="shared" si="4"/>
        <v>0</v>
      </c>
      <c r="AE30" s="26">
        <f t="shared" si="5"/>
        <v>0</v>
      </c>
      <c r="AF30" s="26">
        <f t="shared" si="6"/>
        <v>0</v>
      </c>
      <c r="AG30" s="15">
        <f t="shared" si="7"/>
        <v>0</v>
      </c>
      <c r="AH30" s="26">
        <f t="shared" si="8"/>
        <v>0</v>
      </c>
      <c r="AI30" s="26">
        <f t="shared" si="9"/>
        <v>0</v>
      </c>
      <c r="AJ30" s="26">
        <f t="shared" si="10"/>
        <v>0</v>
      </c>
      <c r="AK30" s="15" t="str">
        <f t="shared" si="11"/>
        <v>DNF</v>
      </c>
      <c r="AL30" s="26">
        <f t="shared" si="12"/>
        <v>0</v>
      </c>
      <c r="AM30" s="26">
        <f t="shared" si="13"/>
        <v>20</v>
      </c>
      <c r="AN30" s="26">
        <f t="shared" si="14"/>
        <v>20</v>
      </c>
      <c r="AO30" s="25">
        <v>318</v>
      </c>
      <c r="AP30" s="11" t="str">
        <f t="shared" si="15"/>
        <v>Осокин Михаил Сергеевич
Осокин Александр Сергеевич</v>
      </c>
      <c r="AQ30" s="11" t="str">
        <f t="shared" si="16"/>
        <v>п. Восточный
п. Восточный</v>
      </c>
      <c r="AR30" s="11">
        <f t="shared" si="17"/>
        <v>0</v>
      </c>
      <c r="AS30" s="15">
        <f t="shared" si="18"/>
        <v>0</v>
      </c>
      <c r="AT30" s="26">
        <f t="shared" si="19"/>
        <v>0</v>
      </c>
      <c r="AU30" s="26">
        <f t="shared" si="20"/>
        <v>0</v>
      </c>
      <c r="AV30" s="26">
        <f t="shared" si="21"/>
        <v>0</v>
      </c>
      <c r="AW30" s="15" t="str">
        <f t="shared" si="22"/>
        <v>DNF</v>
      </c>
      <c r="AX30" s="26">
        <f t="shared" si="23"/>
        <v>0</v>
      </c>
      <c r="AY30" s="26">
        <f t="shared" si="24"/>
        <v>20</v>
      </c>
      <c r="AZ30" s="26">
        <f t="shared" si="25"/>
        <v>20</v>
      </c>
      <c r="BA30" s="15">
        <f t="shared" si="26"/>
        <v>0</v>
      </c>
      <c r="BB30" s="26">
        <f t="shared" si="27"/>
        <v>0</v>
      </c>
      <c r="BC30" s="26">
        <f>VLOOKUP($AO30,TAB,91,FALSE)</f>
        <v>0</v>
      </c>
      <c r="BD30" s="26">
        <f t="shared" si="28"/>
        <v>0</v>
      </c>
      <c r="BE30" s="25">
        <v>318</v>
      </c>
      <c r="BF30" s="11" t="str">
        <f t="shared" si="29"/>
        <v>Осокин Михаил Сергеевич
Осокин Александр Сергеевич</v>
      </c>
      <c r="BG30" s="11" t="str">
        <f t="shared" si="30"/>
        <v>п. Восточный
п. Восточный</v>
      </c>
      <c r="BH30" s="11" t="str">
        <f t="shared" si="31"/>
        <v>УАЗ Пикап</v>
      </c>
      <c r="BI30" s="15">
        <f t="shared" si="32"/>
        <v>0</v>
      </c>
      <c r="BJ30" s="26">
        <f t="shared" si="33"/>
        <v>0</v>
      </c>
      <c r="BK30" s="26">
        <f t="shared" si="34"/>
        <v>0</v>
      </c>
      <c r="BL30" s="26">
        <f t="shared" si="35"/>
        <v>0</v>
      </c>
      <c r="BM30" s="15" t="str">
        <f t="shared" si="36"/>
        <v>DNF</v>
      </c>
      <c r="BN30" s="26">
        <f t="shared" si="37"/>
        <v>0</v>
      </c>
      <c r="BO30" s="26">
        <f t="shared" si="38"/>
        <v>20</v>
      </c>
      <c r="BP30" s="26">
        <f t="shared" si="39"/>
        <v>20</v>
      </c>
      <c r="BQ30" s="15">
        <f t="shared" si="40"/>
        <v>0</v>
      </c>
      <c r="BR30" s="26">
        <f t="shared" si="41"/>
        <v>0</v>
      </c>
      <c r="BS30" s="26">
        <f t="shared" si="42"/>
        <v>0</v>
      </c>
      <c r="BT30" s="26">
        <f t="shared" si="43"/>
        <v>0</v>
      </c>
      <c r="BU30" s="25">
        <v>318</v>
      </c>
      <c r="BV30" s="11" t="str">
        <f t="shared" si="44"/>
        <v>Осокин Михаил Сергеевич
Осокин Александр Сергеевич</v>
      </c>
      <c r="BW30" s="11" t="str">
        <f t="shared" si="45"/>
        <v>п. Восточный
п. Восточный</v>
      </c>
      <c r="BX30" s="11" t="str">
        <f t="shared" si="46"/>
        <v>УАЗ Пикап</v>
      </c>
      <c r="BY30" s="15">
        <f t="shared" si="47"/>
        <v>0</v>
      </c>
      <c r="BZ30" s="26">
        <f t="shared" si="48"/>
        <v>0</v>
      </c>
      <c r="CA30" s="26">
        <f t="shared" si="49"/>
        <v>0</v>
      </c>
      <c r="CB30" s="26">
        <f t="shared" si="50"/>
        <v>0</v>
      </c>
      <c r="CC30" s="15">
        <f t="shared" si="51"/>
        <v>0</v>
      </c>
      <c r="CD30" s="26">
        <f t="shared" si="52"/>
        <v>0</v>
      </c>
      <c r="CE30" s="26">
        <f t="shared" si="53"/>
        <v>0</v>
      </c>
      <c r="CF30" s="26">
        <f t="shared" si="54"/>
        <v>0</v>
      </c>
      <c r="CG30" s="15">
        <f t="shared" si="55"/>
        <v>0</v>
      </c>
      <c r="CH30" s="26">
        <f t="shared" si="56"/>
        <v>0</v>
      </c>
      <c r="CI30" s="26">
        <f t="shared" si="57"/>
        <v>0</v>
      </c>
      <c r="CJ30" s="26">
        <f t="shared" si="58"/>
        <v>0</v>
      </c>
      <c r="CK30" s="25">
        <v>318</v>
      </c>
      <c r="CL30" s="11" t="str">
        <f t="shared" si="59"/>
        <v>Осокин Михаил Сергеевич
Осокин Александр Сергеевич</v>
      </c>
      <c r="CM30" s="11" t="str">
        <f t="shared" si="60"/>
        <v>п. Восточный
п. Восточный</v>
      </c>
      <c r="CN30" s="11" t="str">
        <f t="shared" si="61"/>
        <v>УАЗ Пикап</v>
      </c>
      <c r="CO30" s="15">
        <f t="shared" si="62"/>
        <v>0</v>
      </c>
      <c r="CP30" s="26">
        <f t="shared" si="63"/>
        <v>0</v>
      </c>
      <c r="CQ30" s="26">
        <f t="shared" si="64"/>
        <v>0</v>
      </c>
      <c r="CR30" s="26">
        <f t="shared" si="65"/>
        <v>0</v>
      </c>
      <c r="CS30" s="15">
        <f t="shared" si="66"/>
        <v>0</v>
      </c>
      <c r="CT30" s="26">
        <f t="shared" si="67"/>
        <v>0</v>
      </c>
      <c r="CU30" s="26">
        <f t="shared" si="68"/>
        <v>0</v>
      </c>
      <c r="CV30" s="26">
        <f t="shared" si="69"/>
        <v>0</v>
      </c>
      <c r="CW30" s="15">
        <f t="shared" si="70"/>
        <v>0</v>
      </c>
      <c r="CX30" s="26">
        <f t="shared" si="71"/>
        <v>0</v>
      </c>
      <c r="CY30" s="26">
        <f t="shared" si="72"/>
        <v>0</v>
      </c>
      <c r="CZ30" s="26">
        <f t="shared" si="73"/>
        <v>0</v>
      </c>
      <c r="DA30" s="11">
        <f t="shared" si="74"/>
        <v>140</v>
      </c>
    </row>
    <row r="31" spans="1:105" s="6" customFormat="1" ht="60" x14ac:dyDescent="0.25">
      <c r="A31" s="25">
        <v>319</v>
      </c>
      <c r="B31" s="11" t="str">
        <f>VLOOKUP($A31,TAB,2,FALSE)</f>
        <v>Тимофеев Александр Николаевич
Белкин Александр Сергеевич</v>
      </c>
      <c r="C31" s="11" t="str">
        <f>VLOOKUP($A31,TAB,4,FALSE)</f>
        <v>Пермь
Пермь</v>
      </c>
      <c r="D31" s="11" t="str">
        <f>VLOOKUP($A31,TAB,5,FALSE)</f>
        <v>Нива</v>
      </c>
      <c r="E31" s="15">
        <f>VLOOKUP($A31,TAB,8,FALSE)</f>
        <v>9.3402777777777772E-3</v>
      </c>
      <c r="F31" s="26"/>
      <c r="G31" s="26">
        <f>VLOOKUP($A31,TAB,70,FALSE)</f>
        <v>90</v>
      </c>
      <c r="H31" s="26">
        <f>VLOOKUP($A31,TAB,101,FALSE)</f>
        <v>90</v>
      </c>
      <c r="I31" s="69"/>
      <c r="J31" s="70"/>
      <c r="K31" s="70"/>
      <c r="L31" s="70"/>
      <c r="M31" s="71"/>
      <c r="N31" s="70"/>
      <c r="O31" s="70"/>
      <c r="P31" s="70"/>
      <c r="Q31" s="25">
        <v>319</v>
      </c>
      <c r="R31" s="11" t="str">
        <f t="shared" si="0"/>
        <v>Тимофеев Александр Николаевич
Белкин Александр Сергеевич</v>
      </c>
      <c r="S31" s="11" t="str">
        <f t="shared" si="1"/>
        <v>Пермь
Пермь</v>
      </c>
      <c r="T31" s="11" t="str">
        <f t="shared" si="2"/>
        <v>Нива</v>
      </c>
      <c r="U31" s="15">
        <f>VLOOKUP($Q31,TAB,22,FALSE)</f>
        <v>2.0091435185185186E-3</v>
      </c>
      <c r="V31" s="26">
        <f>VLOOKUP($Q31,TAB,52,FALSE)</f>
        <v>0</v>
      </c>
      <c r="W31" s="26">
        <f>VLOOKUP($Q31,TAB,84,FALSE)</f>
        <v>95</v>
      </c>
      <c r="X31" s="26">
        <f>VLOOKUP($Q31,TAB,115,FALSE)</f>
        <v>95</v>
      </c>
      <c r="Y31" s="15">
        <f>VLOOKUP($Q31,TAB,23,FALSE)</f>
        <v>2.8935185185185188E-3</v>
      </c>
      <c r="Z31" s="26">
        <f>VLOOKUP($Q31,TAB,53,FALSE)</f>
        <v>0</v>
      </c>
      <c r="AA31" s="26">
        <f>VLOOKUP($Q31,TAB,85,FALSE)</f>
        <v>95</v>
      </c>
      <c r="AB31" s="26">
        <f>VLOOKUP($Q31,TAB,116,FALSE)</f>
        <v>95</v>
      </c>
      <c r="AC31" s="15">
        <f t="shared" si="3"/>
        <v>0</v>
      </c>
      <c r="AD31" s="26">
        <f t="shared" si="4"/>
        <v>0</v>
      </c>
      <c r="AE31" s="26">
        <f t="shared" si="5"/>
        <v>0</v>
      </c>
      <c r="AF31" s="26">
        <f t="shared" si="6"/>
        <v>0</v>
      </c>
      <c r="AG31" s="15">
        <f t="shared" si="7"/>
        <v>2.7546296296296294E-3</v>
      </c>
      <c r="AH31" s="26">
        <f t="shared" si="8"/>
        <v>0</v>
      </c>
      <c r="AI31" s="26">
        <f t="shared" si="9"/>
        <v>81</v>
      </c>
      <c r="AJ31" s="26">
        <f t="shared" si="10"/>
        <v>81</v>
      </c>
      <c r="AK31" s="15" t="str">
        <f t="shared" si="11"/>
        <v>DNF</v>
      </c>
      <c r="AL31" s="26">
        <f t="shared" si="12"/>
        <v>0</v>
      </c>
      <c r="AM31" s="26">
        <f t="shared" si="13"/>
        <v>20</v>
      </c>
      <c r="AN31" s="26">
        <f t="shared" si="14"/>
        <v>20</v>
      </c>
      <c r="AO31" s="25">
        <v>319</v>
      </c>
      <c r="AP31" s="11" t="str">
        <f t="shared" si="15"/>
        <v>Тимофеев Александр Николаевич
Белкин Александр Сергеевич</v>
      </c>
      <c r="AQ31" s="11" t="str">
        <f t="shared" si="16"/>
        <v>Пермь
Пермь</v>
      </c>
      <c r="AR31" s="11">
        <f t="shared" si="17"/>
        <v>0</v>
      </c>
      <c r="AS31" s="15">
        <f t="shared" si="18"/>
        <v>2.7662037037037034E-3</v>
      </c>
      <c r="AT31" s="26">
        <f t="shared" si="19"/>
        <v>0</v>
      </c>
      <c r="AU31" s="26">
        <f t="shared" si="20"/>
        <v>95</v>
      </c>
      <c r="AV31" s="26">
        <f t="shared" si="21"/>
        <v>95</v>
      </c>
      <c r="AW31" s="15">
        <f t="shared" si="22"/>
        <v>6.6898148148148142E-3</v>
      </c>
      <c r="AX31" s="26">
        <f t="shared" si="23"/>
        <v>10</v>
      </c>
      <c r="AY31" s="26">
        <f t="shared" si="24"/>
        <v>90</v>
      </c>
      <c r="AZ31" s="26">
        <f t="shared" si="25"/>
        <v>80</v>
      </c>
      <c r="BA31" s="15">
        <f t="shared" si="26"/>
        <v>0</v>
      </c>
      <c r="BB31" s="26">
        <f t="shared" si="27"/>
        <v>0</v>
      </c>
      <c r="BC31" s="26">
        <f>VLOOKUP($AO31,TAB,91,FALSE)</f>
        <v>0</v>
      </c>
      <c r="BD31" s="26">
        <f t="shared" si="28"/>
        <v>0</v>
      </c>
      <c r="BE31" s="25">
        <v>319</v>
      </c>
      <c r="BF31" s="11" t="str">
        <f t="shared" si="29"/>
        <v>Тимофеев Александр Николаевич
Белкин Александр Сергеевич</v>
      </c>
      <c r="BG31" s="11" t="str">
        <f t="shared" si="30"/>
        <v>Пермь
Пермь</v>
      </c>
      <c r="BH31" s="11" t="str">
        <f t="shared" si="31"/>
        <v>Нива</v>
      </c>
      <c r="BI31" s="15" t="str">
        <f t="shared" si="32"/>
        <v>DNF</v>
      </c>
      <c r="BJ31" s="26">
        <f t="shared" si="33"/>
        <v>0</v>
      </c>
      <c r="BK31" s="26">
        <f t="shared" si="34"/>
        <v>20</v>
      </c>
      <c r="BL31" s="26">
        <f t="shared" si="35"/>
        <v>20</v>
      </c>
      <c r="BM31" s="15">
        <f t="shared" si="36"/>
        <v>3.9428240740740743E-3</v>
      </c>
      <c r="BN31" s="26">
        <f t="shared" si="37"/>
        <v>0</v>
      </c>
      <c r="BO31" s="26">
        <f t="shared" si="38"/>
        <v>72</v>
      </c>
      <c r="BP31" s="26">
        <f t="shared" si="39"/>
        <v>72</v>
      </c>
      <c r="BQ31" s="15">
        <f t="shared" si="40"/>
        <v>1.768287037037037E-3</v>
      </c>
      <c r="BR31" s="26">
        <f t="shared" si="41"/>
        <v>0</v>
      </c>
      <c r="BS31" s="26">
        <f t="shared" si="42"/>
        <v>84</v>
      </c>
      <c r="BT31" s="26">
        <f t="shared" si="43"/>
        <v>84</v>
      </c>
      <c r="BU31" s="25">
        <v>319</v>
      </c>
      <c r="BV31" s="11" t="str">
        <f t="shared" si="44"/>
        <v>Тимофеев Александр Николаевич
Белкин Александр Сергеевич</v>
      </c>
      <c r="BW31" s="11" t="str">
        <f t="shared" si="45"/>
        <v>Пермь
Пермь</v>
      </c>
      <c r="BX31" s="11" t="str">
        <f t="shared" si="46"/>
        <v>Нива</v>
      </c>
      <c r="BY31" s="15">
        <f t="shared" si="47"/>
        <v>6.828703703703704E-3</v>
      </c>
      <c r="BZ31" s="26">
        <f t="shared" si="48"/>
        <v>30</v>
      </c>
      <c r="CA31" s="26">
        <f t="shared" si="49"/>
        <v>87</v>
      </c>
      <c r="CB31" s="26">
        <f t="shared" si="50"/>
        <v>57</v>
      </c>
      <c r="CC31" s="15">
        <f t="shared" si="51"/>
        <v>3.7847222222222223E-3</v>
      </c>
      <c r="CD31" s="26">
        <f t="shared" si="52"/>
        <v>0</v>
      </c>
      <c r="CE31" s="26">
        <f t="shared" si="53"/>
        <v>72</v>
      </c>
      <c r="CF31" s="26">
        <f t="shared" si="54"/>
        <v>72</v>
      </c>
      <c r="CG31" s="15">
        <f t="shared" si="55"/>
        <v>5.5555555555555558E-3</v>
      </c>
      <c r="CH31" s="26">
        <f t="shared" si="56"/>
        <v>0</v>
      </c>
      <c r="CI31" s="26">
        <f t="shared" si="57"/>
        <v>90</v>
      </c>
      <c r="CJ31" s="26">
        <f t="shared" si="58"/>
        <v>90</v>
      </c>
      <c r="CK31" s="25">
        <v>319</v>
      </c>
      <c r="CL31" s="11" t="str">
        <f t="shared" si="59"/>
        <v>Тимофеев Александр Николаевич
Белкин Александр Сергеевич</v>
      </c>
      <c r="CM31" s="11" t="str">
        <f t="shared" si="60"/>
        <v>Пермь
Пермь</v>
      </c>
      <c r="CN31" s="11" t="str">
        <f t="shared" si="61"/>
        <v>Нива</v>
      </c>
      <c r="CO31" s="15">
        <f t="shared" si="62"/>
        <v>8.4143518518518517E-3</v>
      </c>
      <c r="CP31" s="26">
        <f t="shared" si="63"/>
        <v>0</v>
      </c>
      <c r="CQ31" s="26">
        <f t="shared" si="64"/>
        <v>87</v>
      </c>
      <c r="CR31" s="26">
        <f t="shared" si="65"/>
        <v>87</v>
      </c>
      <c r="CS31" s="15" t="str">
        <f t="shared" si="66"/>
        <v>DNF</v>
      </c>
      <c r="CT31" s="26">
        <f t="shared" si="67"/>
        <v>0</v>
      </c>
      <c r="CU31" s="26">
        <f t="shared" si="68"/>
        <v>20</v>
      </c>
      <c r="CV31" s="26">
        <f t="shared" si="69"/>
        <v>20</v>
      </c>
      <c r="CW31" s="15">
        <f t="shared" si="70"/>
        <v>0</v>
      </c>
      <c r="CX31" s="26">
        <f t="shared" si="71"/>
        <v>0</v>
      </c>
      <c r="CY31" s="26">
        <f t="shared" si="72"/>
        <v>0</v>
      </c>
      <c r="CZ31" s="26">
        <f t="shared" si="73"/>
        <v>0</v>
      </c>
      <c r="DA31" s="11">
        <f t="shared" si="74"/>
        <v>1058</v>
      </c>
    </row>
    <row r="32" spans="1:105" s="6" customFormat="1" ht="60" x14ac:dyDescent="0.25">
      <c r="A32" s="25">
        <v>320</v>
      </c>
      <c r="B32" s="11" t="str">
        <f>VLOOKUP($A32,TAB,2,FALSE)</f>
        <v>Сунаргулов Руслан Раянович
Алеев Андрей Мухаметшаевич</v>
      </c>
      <c r="C32" s="11" t="str">
        <f>VLOOKUP($A32,TAB,4,FALSE)</f>
        <v>Челябинск
Челябинск</v>
      </c>
      <c r="D32" s="11" t="str">
        <f>VLOOKUP($A32,TAB,5,FALSE)</f>
        <v>Nissan Patrol</v>
      </c>
      <c r="E32" s="15" t="str">
        <f>VLOOKUP($A32,TAB,8,FALSE)</f>
        <v>DNF</v>
      </c>
      <c r="F32" s="26"/>
      <c r="G32" s="26">
        <f>VLOOKUP($A32,TAB,70,FALSE)</f>
        <v>20</v>
      </c>
      <c r="H32" s="26">
        <f>VLOOKUP($A32,TAB,101,FALSE)</f>
        <v>20</v>
      </c>
      <c r="I32" s="69"/>
      <c r="J32" s="70"/>
      <c r="K32" s="70"/>
      <c r="L32" s="70"/>
      <c r="M32" s="71"/>
      <c r="N32" s="70"/>
      <c r="O32" s="70"/>
      <c r="P32" s="70"/>
      <c r="Q32" s="25">
        <v>320</v>
      </c>
      <c r="R32" s="11" t="str">
        <f t="shared" si="0"/>
        <v>Сунаргулов Руслан Раянович
Алеев Андрей Мухаметшаевич</v>
      </c>
      <c r="S32" s="11" t="str">
        <f t="shared" si="1"/>
        <v>Челябинск
Челябинск</v>
      </c>
      <c r="T32" s="11" t="str">
        <f t="shared" si="2"/>
        <v>Nissan Patrol</v>
      </c>
      <c r="U32" s="15">
        <f>VLOOKUP($Q32,TAB,22,FALSE)</f>
        <v>4.9594907407407409E-3</v>
      </c>
      <c r="V32" s="26">
        <f>VLOOKUP($Q32,TAB,52,FALSE)</f>
        <v>0</v>
      </c>
      <c r="W32" s="26">
        <f>VLOOKUP($Q32,TAB,84,FALSE)</f>
        <v>66</v>
      </c>
      <c r="X32" s="26">
        <f>VLOOKUP($Q32,TAB,115,FALSE)</f>
        <v>66</v>
      </c>
      <c r="Y32" s="15" t="str">
        <f>VLOOKUP($Q32,TAB,23,FALSE)</f>
        <v>DNF</v>
      </c>
      <c r="Z32" s="26">
        <f>VLOOKUP($Q32,TAB,53,FALSE)</f>
        <v>0</v>
      </c>
      <c r="AA32" s="26">
        <f>VLOOKUP($Q32,TAB,85,FALSE)</f>
        <v>20</v>
      </c>
      <c r="AB32" s="26">
        <f>VLOOKUP($Q32,TAB,116,FALSE)</f>
        <v>20</v>
      </c>
      <c r="AC32" s="15" t="str">
        <f t="shared" si="3"/>
        <v>DNF</v>
      </c>
      <c r="AD32" s="26">
        <f t="shared" si="4"/>
        <v>0</v>
      </c>
      <c r="AE32" s="26">
        <f t="shared" si="5"/>
        <v>20</v>
      </c>
      <c r="AF32" s="26">
        <f t="shared" si="6"/>
        <v>20</v>
      </c>
      <c r="AG32" s="15">
        <f t="shared" si="7"/>
        <v>3.7500000000000003E-3</v>
      </c>
      <c r="AH32" s="26">
        <f t="shared" si="8"/>
        <v>0</v>
      </c>
      <c r="AI32" s="26">
        <f t="shared" si="9"/>
        <v>72</v>
      </c>
      <c r="AJ32" s="26">
        <f t="shared" si="10"/>
        <v>72</v>
      </c>
      <c r="AK32" s="15" t="str">
        <f t="shared" si="11"/>
        <v>DNF</v>
      </c>
      <c r="AL32" s="26">
        <f t="shared" si="12"/>
        <v>0</v>
      </c>
      <c r="AM32" s="26">
        <f t="shared" si="13"/>
        <v>20</v>
      </c>
      <c r="AN32" s="26">
        <f t="shared" si="14"/>
        <v>20</v>
      </c>
      <c r="AO32" s="25">
        <v>320</v>
      </c>
      <c r="AP32" s="11" t="str">
        <f t="shared" si="15"/>
        <v>Сунаргулов Руслан Раянович
Алеев Андрей Мухаметшаевич</v>
      </c>
      <c r="AQ32" s="11" t="str">
        <f t="shared" si="16"/>
        <v>Челябинск
Челябинск</v>
      </c>
      <c r="AR32" s="11">
        <f t="shared" si="17"/>
        <v>0</v>
      </c>
      <c r="AS32" s="15" t="str">
        <f t="shared" si="18"/>
        <v>DNF</v>
      </c>
      <c r="AT32" s="26">
        <f t="shared" si="19"/>
        <v>0</v>
      </c>
      <c r="AU32" s="26">
        <f t="shared" si="20"/>
        <v>20</v>
      </c>
      <c r="AV32" s="26">
        <f t="shared" si="21"/>
        <v>20</v>
      </c>
      <c r="AW32" s="15" t="str">
        <f t="shared" si="22"/>
        <v>DNF</v>
      </c>
      <c r="AX32" s="26">
        <f t="shared" si="23"/>
        <v>0</v>
      </c>
      <c r="AY32" s="26">
        <f t="shared" si="24"/>
        <v>20</v>
      </c>
      <c r="AZ32" s="26">
        <f t="shared" si="25"/>
        <v>20</v>
      </c>
      <c r="BA32" s="15" t="str">
        <f t="shared" si="26"/>
        <v>DNF</v>
      </c>
      <c r="BB32" s="26">
        <f t="shared" si="27"/>
        <v>0</v>
      </c>
      <c r="BC32" s="26">
        <f>VLOOKUP($AO32,TAB,91,FALSE)</f>
        <v>20</v>
      </c>
      <c r="BD32" s="26">
        <f t="shared" si="28"/>
        <v>20</v>
      </c>
      <c r="BE32" s="25">
        <v>320</v>
      </c>
      <c r="BF32" s="11" t="str">
        <f t="shared" si="29"/>
        <v>Сунаргулов Руслан Раянович
Алеев Андрей Мухаметшаевич</v>
      </c>
      <c r="BG32" s="11" t="str">
        <f t="shared" si="30"/>
        <v>Челябинск
Челябинск</v>
      </c>
      <c r="BH32" s="11" t="str">
        <f t="shared" si="31"/>
        <v>Nissan Patrol</v>
      </c>
      <c r="BI32" s="15" t="str">
        <f t="shared" si="32"/>
        <v>DNF</v>
      </c>
      <c r="BJ32" s="26">
        <f t="shared" si="33"/>
        <v>0</v>
      </c>
      <c r="BK32" s="26">
        <f t="shared" si="34"/>
        <v>20</v>
      </c>
      <c r="BL32" s="26">
        <f t="shared" si="35"/>
        <v>20</v>
      </c>
      <c r="BM32" s="15" t="str">
        <f t="shared" si="36"/>
        <v>DNF</v>
      </c>
      <c r="BN32" s="26">
        <f t="shared" si="37"/>
        <v>0</v>
      </c>
      <c r="BO32" s="26">
        <f t="shared" si="38"/>
        <v>20</v>
      </c>
      <c r="BP32" s="26">
        <f t="shared" si="39"/>
        <v>20</v>
      </c>
      <c r="BQ32" s="15">
        <f t="shared" si="40"/>
        <v>3.3094907407407409E-3</v>
      </c>
      <c r="BR32" s="26">
        <f t="shared" si="41"/>
        <v>30</v>
      </c>
      <c r="BS32" s="26">
        <f t="shared" si="42"/>
        <v>72</v>
      </c>
      <c r="BT32" s="26">
        <f t="shared" si="43"/>
        <v>42</v>
      </c>
      <c r="BU32" s="25">
        <v>320</v>
      </c>
      <c r="BV32" s="11" t="str">
        <f t="shared" si="44"/>
        <v>Сунаргулов Руслан Раянович
Алеев Андрей Мухаметшаевич</v>
      </c>
      <c r="BW32" s="11" t="str">
        <f t="shared" si="45"/>
        <v>Челябинск
Челябинск</v>
      </c>
      <c r="BX32" s="11" t="str">
        <f t="shared" si="46"/>
        <v>Nissan Patrol</v>
      </c>
      <c r="BY32" s="15" t="str">
        <f t="shared" si="47"/>
        <v>DNF</v>
      </c>
      <c r="BZ32" s="26">
        <f t="shared" si="48"/>
        <v>0</v>
      </c>
      <c r="CA32" s="26">
        <f t="shared" si="49"/>
        <v>20</v>
      </c>
      <c r="CB32" s="26">
        <f t="shared" si="50"/>
        <v>20</v>
      </c>
      <c r="CC32" s="15" t="str">
        <f t="shared" si="51"/>
        <v>DNF</v>
      </c>
      <c r="CD32" s="26">
        <f t="shared" si="52"/>
        <v>0</v>
      </c>
      <c r="CE32" s="26">
        <f t="shared" si="53"/>
        <v>20</v>
      </c>
      <c r="CF32" s="26">
        <f t="shared" si="54"/>
        <v>20</v>
      </c>
      <c r="CG32" s="15" t="str">
        <f t="shared" si="55"/>
        <v>DNF</v>
      </c>
      <c r="CH32" s="26">
        <f t="shared" si="56"/>
        <v>0</v>
      </c>
      <c r="CI32" s="26">
        <f t="shared" si="57"/>
        <v>20</v>
      </c>
      <c r="CJ32" s="26">
        <f t="shared" si="58"/>
        <v>20</v>
      </c>
      <c r="CK32" s="25">
        <v>320</v>
      </c>
      <c r="CL32" s="11" t="str">
        <f t="shared" si="59"/>
        <v>Сунаргулов Руслан Раянович
Алеев Андрей Мухаметшаевич</v>
      </c>
      <c r="CM32" s="11" t="str">
        <f t="shared" si="60"/>
        <v>Челябинск
Челябинск</v>
      </c>
      <c r="CN32" s="11" t="str">
        <f t="shared" si="61"/>
        <v>Nissan Patrol</v>
      </c>
      <c r="CO32" s="15" t="str">
        <f t="shared" si="62"/>
        <v>DNF</v>
      </c>
      <c r="CP32" s="26">
        <f t="shared" si="63"/>
        <v>0</v>
      </c>
      <c r="CQ32" s="26">
        <f t="shared" si="64"/>
        <v>20</v>
      </c>
      <c r="CR32" s="26">
        <f t="shared" si="65"/>
        <v>20</v>
      </c>
      <c r="CS32" s="15" t="str">
        <f t="shared" si="66"/>
        <v>DNF</v>
      </c>
      <c r="CT32" s="26">
        <f t="shared" si="67"/>
        <v>0</v>
      </c>
      <c r="CU32" s="26">
        <f t="shared" si="68"/>
        <v>20</v>
      </c>
      <c r="CV32" s="26">
        <f t="shared" si="69"/>
        <v>20</v>
      </c>
      <c r="CW32" s="15">
        <f t="shared" si="70"/>
        <v>0</v>
      </c>
      <c r="CX32" s="26">
        <f t="shared" si="71"/>
        <v>0</v>
      </c>
      <c r="CY32" s="26">
        <f t="shared" si="72"/>
        <v>0</v>
      </c>
      <c r="CZ32" s="26">
        <f t="shared" si="73"/>
        <v>0</v>
      </c>
      <c r="DA32" s="11">
        <f t="shared" si="74"/>
        <v>460</v>
      </c>
    </row>
    <row r="33" spans="1:105" s="6" customFormat="1" ht="60" x14ac:dyDescent="0.25">
      <c r="A33" s="25">
        <v>208</v>
      </c>
      <c r="B33" s="11" t="str">
        <f>VLOOKUP($A33,TAB,2,FALSE)</f>
        <v>Корбков Алексей Сергеевич
Корбков Алексей Сергеевич</v>
      </c>
      <c r="C33" s="11" t="str">
        <f>VLOOKUP($A33,TAB,4,FALSE)</f>
        <v>Тюмень
Тюмень</v>
      </c>
      <c r="D33" s="11" t="str">
        <f>VLOOKUP($A33,TAB,5,FALSE)</f>
        <v>ВАЗ 2121</v>
      </c>
      <c r="E33" s="15">
        <f>VLOOKUP($A33,TAB,8,FALSE)</f>
        <v>1.5636574074074074E-2</v>
      </c>
      <c r="F33" s="26"/>
      <c r="G33" s="26">
        <f>VLOOKUP($A33,TAB,70,FALSE)</f>
        <v>69</v>
      </c>
      <c r="H33" s="26">
        <f>VLOOKUP($A33,TAB,101,FALSE)</f>
        <v>69</v>
      </c>
      <c r="I33" s="69"/>
      <c r="J33" s="70"/>
      <c r="K33" s="70"/>
      <c r="L33" s="70"/>
      <c r="M33" s="71"/>
      <c r="N33" s="70"/>
      <c r="O33" s="70"/>
      <c r="P33" s="70"/>
      <c r="Q33" s="25">
        <v>208</v>
      </c>
      <c r="R33" s="11" t="str">
        <f t="shared" si="0"/>
        <v>Корбков Алексей Сергеевич
Корбков Алексей Сергеевич</v>
      </c>
      <c r="S33" s="11" t="str">
        <f t="shared" si="1"/>
        <v>Тюмень
Тюмень</v>
      </c>
      <c r="T33" s="11" t="str">
        <f t="shared" si="2"/>
        <v>ВАЗ 2121</v>
      </c>
      <c r="U33" s="15">
        <f>VLOOKUP($Q33,TAB,22,FALSE)</f>
        <v>2.1773148148148151E-3</v>
      </c>
      <c r="V33" s="26">
        <f>VLOOKUP($Q33,TAB,52,FALSE)</f>
        <v>0</v>
      </c>
      <c r="W33" s="26">
        <f>VLOOKUP($Q33,TAB,84,FALSE)</f>
        <v>90</v>
      </c>
      <c r="X33" s="26">
        <f>VLOOKUP($Q33,TAB,115,FALSE)</f>
        <v>90</v>
      </c>
      <c r="Y33" s="15">
        <f>VLOOKUP($Q33,TAB,23,FALSE)</f>
        <v>8.5879629629629622E-3</v>
      </c>
      <c r="Z33" s="26">
        <f>VLOOKUP($Q33,TAB,53,FALSE)</f>
        <v>0</v>
      </c>
      <c r="AA33" s="26">
        <f>VLOOKUP($Q33,TAB,85,FALSE)</f>
        <v>87</v>
      </c>
      <c r="AB33" s="26">
        <f>VLOOKUP($Q33,TAB,116,FALSE)</f>
        <v>87</v>
      </c>
      <c r="AC33" s="15">
        <f t="shared" si="3"/>
        <v>0</v>
      </c>
      <c r="AD33" s="26">
        <f t="shared" si="4"/>
        <v>0</v>
      </c>
      <c r="AE33" s="26">
        <f t="shared" si="5"/>
        <v>0</v>
      </c>
      <c r="AF33" s="26">
        <f t="shared" si="6"/>
        <v>0</v>
      </c>
      <c r="AG33" s="15">
        <f t="shared" si="7"/>
        <v>2.3032407407407407E-3</v>
      </c>
      <c r="AH33" s="26">
        <f t="shared" si="8"/>
        <v>0</v>
      </c>
      <c r="AI33" s="26">
        <f t="shared" si="9"/>
        <v>87</v>
      </c>
      <c r="AJ33" s="26">
        <f t="shared" si="10"/>
        <v>87</v>
      </c>
      <c r="AK33" s="15">
        <f t="shared" si="11"/>
        <v>0</v>
      </c>
      <c r="AL33" s="26">
        <f t="shared" si="12"/>
        <v>0</v>
      </c>
      <c r="AM33" s="26">
        <f t="shared" si="13"/>
        <v>0</v>
      </c>
      <c r="AN33" s="26">
        <f t="shared" si="14"/>
        <v>0</v>
      </c>
      <c r="AO33" s="25">
        <v>208</v>
      </c>
      <c r="AP33" s="11" t="str">
        <f t="shared" si="15"/>
        <v>Корбков Алексей Сергеевич
Корбков Алексей Сергеевич</v>
      </c>
      <c r="AQ33" s="11" t="str">
        <f t="shared" si="16"/>
        <v>Тюмень
Тюмень</v>
      </c>
      <c r="AR33" s="11">
        <f t="shared" si="17"/>
        <v>0</v>
      </c>
      <c r="AS33" s="15" t="str">
        <f t="shared" si="18"/>
        <v>DNF</v>
      </c>
      <c r="AT33" s="26">
        <f t="shared" si="19"/>
        <v>0</v>
      </c>
      <c r="AU33" s="26">
        <f t="shared" si="20"/>
        <v>20</v>
      </c>
      <c r="AV33" s="26">
        <f t="shared" si="21"/>
        <v>20</v>
      </c>
      <c r="AW33" s="15" t="str">
        <f t="shared" si="22"/>
        <v>DNF</v>
      </c>
      <c r="AX33" s="26">
        <f t="shared" si="23"/>
        <v>0</v>
      </c>
      <c r="AY33" s="26">
        <f t="shared" si="24"/>
        <v>20</v>
      </c>
      <c r="AZ33" s="26">
        <f t="shared" si="25"/>
        <v>20</v>
      </c>
      <c r="BA33" s="15" t="str">
        <f t="shared" si="26"/>
        <v>DNF</v>
      </c>
      <c r="BB33" s="26">
        <f t="shared" si="27"/>
        <v>0</v>
      </c>
      <c r="BC33" s="26">
        <f>VLOOKUP($AO33,TAB,91,FALSE)</f>
        <v>20</v>
      </c>
      <c r="BD33" s="26">
        <f t="shared" si="28"/>
        <v>20</v>
      </c>
      <c r="BE33" s="25">
        <v>208</v>
      </c>
      <c r="BF33" s="11" t="str">
        <f t="shared" si="29"/>
        <v>Корбков Алексей Сергеевич
Корбков Алексей Сергеевич</v>
      </c>
      <c r="BG33" s="11" t="str">
        <f t="shared" si="30"/>
        <v>Тюмень
Тюмень</v>
      </c>
      <c r="BH33" s="11" t="str">
        <f t="shared" si="31"/>
        <v>ВАЗ 2121</v>
      </c>
      <c r="BI33" s="15" t="str">
        <f t="shared" si="32"/>
        <v>DNF</v>
      </c>
      <c r="BJ33" s="26">
        <f t="shared" si="33"/>
        <v>0</v>
      </c>
      <c r="BK33" s="26">
        <f t="shared" si="34"/>
        <v>20</v>
      </c>
      <c r="BL33" s="26">
        <f t="shared" si="35"/>
        <v>20</v>
      </c>
      <c r="BM33" s="15">
        <f t="shared" si="36"/>
        <v>2.110763888888889E-3</v>
      </c>
      <c r="BN33" s="26">
        <f t="shared" si="37"/>
        <v>0</v>
      </c>
      <c r="BO33" s="26">
        <f t="shared" si="38"/>
        <v>100</v>
      </c>
      <c r="BP33" s="26">
        <f t="shared" si="39"/>
        <v>100</v>
      </c>
      <c r="BQ33" s="15">
        <f t="shared" si="40"/>
        <v>2.4800925925925928E-3</v>
      </c>
      <c r="BR33" s="26">
        <f t="shared" si="41"/>
        <v>0</v>
      </c>
      <c r="BS33" s="26">
        <f t="shared" si="42"/>
        <v>78</v>
      </c>
      <c r="BT33" s="26">
        <f t="shared" si="43"/>
        <v>78</v>
      </c>
      <c r="BU33" s="25">
        <v>208</v>
      </c>
      <c r="BV33" s="11" t="str">
        <f t="shared" si="44"/>
        <v>Корбков Алексей Сергеевич
Корбков Алексей Сергеевич</v>
      </c>
      <c r="BW33" s="11" t="str">
        <f t="shared" si="45"/>
        <v>Тюмень
Тюмень</v>
      </c>
      <c r="BX33" s="11" t="str">
        <f t="shared" si="46"/>
        <v>ВАЗ 2121</v>
      </c>
      <c r="BY33" s="15" t="str">
        <f t="shared" si="47"/>
        <v>DNF</v>
      </c>
      <c r="BZ33" s="26">
        <f t="shared" si="48"/>
        <v>0</v>
      </c>
      <c r="CA33" s="26">
        <f t="shared" si="49"/>
        <v>20</v>
      </c>
      <c r="CB33" s="26">
        <f t="shared" si="50"/>
        <v>20</v>
      </c>
      <c r="CC33" s="15">
        <f t="shared" si="51"/>
        <v>2.3495370370370371E-3</v>
      </c>
      <c r="CD33" s="26">
        <f t="shared" si="52"/>
        <v>0</v>
      </c>
      <c r="CE33" s="26">
        <f t="shared" si="53"/>
        <v>84</v>
      </c>
      <c r="CF33" s="26">
        <f t="shared" si="54"/>
        <v>84</v>
      </c>
      <c r="CG33" s="15" t="str">
        <f t="shared" si="55"/>
        <v>DNF</v>
      </c>
      <c r="CH33" s="26">
        <f t="shared" si="56"/>
        <v>0</v>
      </c>
      <c r="CI33" s="26">
        <f t="shared" si="57"/>
        <v>20</v>
      </c>
      <c r="CJ33" s="26">
        <f t="shared" si="58"/>
        <v>20</v>
      </c>
      <c r="CK33" s="25">
        <v>208</v>
      </c>
      <c r="CL33" s="11" t="str">
        <f t="shared" si="59"/>
        <v>Корбков Алексей Сергеевич
Корбков Алексей Сергеевич</v>
      </c>
      <c r="CM33" s="11" t="str">
        <f t="shared" si="60"/>
        <v>Тюмень
Тюмень</v>
      </c>
      <c r="CN33" s="11" t="str">
        <f t="shared" si="61"/>
        <v>ВАЗ 2121</v>
      </c>
      <c r="CO33" s="15" t="str">
        <f t="shared" si="62"/>
        <v>DNF</v>
      </c>
      <c r="CP33" s="26">
        <f t="shared" si="63"/>
        <v>0</v>
      </c>
      <c r="CQ33" s="26">
        <f t="shared" si="64"/>
        <v>20</v>
      </c>
      <c r="CR33" s="26">
        <f t="shared" si="65"/>
        <v>20</v>
      </c>
      <c r="CS33" s="15">
        <f t="shared" si="66"/>
        <v>0</v>
      </c>
      <c r="CT33" s="26">
        <f t="shared" si="67"/>
        <v>0</v>
      </c>
      <c r="CU33" s="26">
        <f t="shared" si="68"/>
        <v>0</v>
      </c>
      <c r="CV33" s="26">
        <f t="shared" si="69"/>
        <v>0</v>
      </c>
      <c r="CW33" s="15">
        <f t="shared" si="70"/>
        <v>0</v>
      </c>
      <c r="CX33" s="26">
        <f t="shared" si="71"/>
        <v>0</v>
      </c>
      <c r="CY33" s="26">
        <f t="shared" si="72"/>
        <v>0</v>
      </c>
      <c r="CZ33" s="26">
        <f t="shared" si="73"/>
        <v>0</v>
      </c>
      <c r="DA33" s="11">
        <f t="shared" si="74"/>
        <v>735</v>
      </c>
    </row>
    <row r="34" spans="1:105" s="36" customFormat="1" x14ac:dyDescent="0.25">
      <c r="A34" s="32"/>
      <c r="B34" s="33"/>
      <c r="C34" s="33"/>
      <c r="D34" s="33"/>
      <c r="E34" s="34"/>
      <c r="F34" s="35"/>
      <c r="G34" s="35"/>
      <c r="H34" s="35"/>
      <c r="I34" s="34"/>
      <c r="J34" s="35"/>
      <c r="K34" s="35"/>
      <c r="L34" s="35"/>
      <c r="M34" s="34"/>
      <c r="N34" s="35"/>
      <c r="O34" s="35"/>
      <c r="P34" s="35"/>
      <c r="Q34" s="32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4"/>
      <c r="AD34" s="35"/>
      <c r="AE34" s="35"/>
      <c r="AF34" s="35"/>
      <c r="AG34" s="34"/>
      <c r="AH34" s="35"/>
      <c r="AI34" s="35"/>
      <c r="AJ34" s="35"/>
      <c r="AK34" s="34"/>
      <c r="AL34" s="35"/>
      <c r="AM34" s="35"/>
      <c r="AN34" s="35"/>
      <c r="AO34" s="32"/>
      <c r="AP34" s="33"/>
      <c r="AQ34" s="33"/>
      <c r="AR34" s="33"/>
      <c r="AS34" s="34"/>
      <c r="AT34" s="35"/>
      <c r="AU34" s="35"/>
      <c r="AV34" s="35"/>
      <c r="AW34" s="34"/>
      <c r="AX34" s="35"/>
      <c r="AY34" s="35"/>
      <c r="AZ34" s="35"/>
      <c r="BA34" s="34"/>
      <c r="BB34" s="35"/>
      <c r="BC34" s="35"/>
      <c r="BD34" s="35"/>
      <c r="BE34" s="32"/>
      <c r="BF34" s="33"/>
      <c r="BG34" s="33"/>
      <c r="BH34" s="33"/>
      <c r="BI34" s="34"/>
      <c r="BJ34" s="35"/>
      <c r="BK34" s="35"/>
      <c r="BL34" s="35"/>
      <c r="BM34" s="34"/>
      <c r="BN34" s="35"/>
      <c r="BO34" s="35"/>
      <c r="BP34" s="35"/>
      <c r="BQ34" s="34"/>
      <c r="BR34" s="35"/>
      <c r="BS34" s="35"/>
      <c r="BT34" s="35"/>
      <c r="BU34" s="32"/>
      <c r="BV34" s="33"/>
      <c r="BW34" s="33"/>
      <c r="BX34" s="33"/>
      <c r="BY34" s="34"/>
      <c r="BZ34" s="35"/>
      <c r="CA34" s="35"/>
      <c r="CB34" s="35"/>
      <c r="CC34" s="34"/>
      <c r="CD34" s="35"/>
      <c r="CE34" s="35"/>
      <c r="CF34" s="35"/>
      <c r="CG34" s="34"/>
      <c r="CH34" s="35"/>
      <c r="CI34" s="35"/>
      <c r="CJ34" s="35"/>
      <c r="CK34" s="32"/>
      <c r="CL34" s="33"/>
      <c r="CM34" s="33"/>
      <c r="CN34" s="33"/>
      <c r="CO34" s="34"/>
      <c r="CP34" s="35"/>
      <c r="CQ34" s="35"/>
      <c r="CR34" s="35"/>
      <c r="CS34" s="34"/>
      <c r="CT34" s="35"/>
      <c r="CU34" s="35"/>
      <c r="CV34" s="35"/>
      <c r="CW34" s="34"/>
      <c r="CX34" s="35"/>
      <c r="CY34" s="35"/>
      <c r="CZ34" s="35"/>
    </row>
    <row r="35" spans="1:105" s="36" customFormat="1" x14ac:dyDescent="0.25">
      <c r="A35" s="63"/>
      <c r="B35" s="33" t="s">
        <v>357</v>
      </c>
      <c r="C35" s="33"/>
      <c r="D35" s="37" t="s">
        <v>358</v>
      </c>
      <c r="E35" s="34"/>
      <c r="F35" s="35"/>
      <c r="G35" s="35"/>
      <c r="H35" s="35"/>
      <c r="I35" s="34"/>
      <c r="J35" s="35"/>
      <c r="K35" s="37" t="s">
        <v>358</v>
      </c>
      <c r="L35" s="35"/>
      <c r="M35" s="34"/>
      <c r="N35" s="35"/>
      <c r="O35" s="35"/>
      <c r="P35" s="35"/>
      <c r="Q35" s="32"/>
      <c r="R35" s="33" t="s">
        <v>357</v>
      </c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4"/>
      <c r="AD35" s="35"/>
      <c r="AE35" s="35"/>
      <c r="AF35" s="35"/>
      <c r="AG35" s="34"/>
      <c r="AH35" s="35"/>
      <c r="AJ35" s="35"/>
      <c r="AK35" s="34"/>
      <c r="AL35" s="35"/>
      <c r="AM35" s="35"/>
      <c r="AN35" s="35"/>
      <c r="AO35" s="32"/>
      <c r="AP35" s="33"/>
      <c r="AQ35" s="33"/>
      <c r="AR35" s="33"/>
      <c r="AS35" s="34"/>
      <c r="AT35" s="35"/>
      <c r="AU35" s="35"/>
      <c r="AV35" s="35"/>
      <c r="AW35" s="34"/>
      <c r="AX35" s="35"/>
      <c r="AY35" s="37"/>
      <c r="AZ35" s="35"/>
      <c r="BA35" s="34"/>
      <c r="BB35" s="35"/>
      <c r="BC35" s="35"/>
      <c r="BD35" s="35"/>
      <c r="BE35" s="32"/>
      <c r="BF35" s="33"/>
      <c r="BG35" s="33"/>
      <c r="BH35" s="33"/>
      <c r="BI35" s="34"/>
      <c r="BJ35" s="35"/>
      <c r="BK35" s="35"/>
      <c r="BL35" s="35"/>
      <c r="BM35" s="34"/>
      <c r="BN35" s="35"/>
      <c r="BO35" s="37"/>
      <c r="BP35" s="35"/>
      <c r="BQ35" s="34"/>
      <c r="BR35" s="35"/>
      <c r="BS35" s="35"/>
      <c r="BT35" s="35"/>
      <c r="BU35" s="32"/>
      <c r="BV35" s="33"/>
      <c r="BW35" s="33"/>
      <c r="BX35" s="33"/>
      <c r="BY35" s="34"/>
      <c r="BZ35" s="35"/>
      <c r="CA35" s="35"/>
      <c r="CB35" s="35"/>
      <c r="CC35" s="34"/>
      <c r="CD35" s="35"/>
      <c r="CE35" s="37"/>
      <c r="CF35" s="35"/>
      <c r="CG35" s="34"/>
      <c r="CH35" s="35"/>
      <c r="CI35" s="35"/>
      <c r="CJ35" s="35"/>
      <c r="CK35" s="32"/>
      <c r="CL35" s="33"/>
      <c r="CM35" s="33"/>
      <c r="CN35" s="33"/>
      <c r="CO35" s="34"/>
      <c r="CP35" s="35"/>
      <c r="CQ35" s="35"/>
      <c r="CR35" s="35"/>
      <c r="CS35" s="34"/>
      <c r="CT35" s="35"/>
      <c r="CU35" s="37"/>
      <c r="CV35" s="35"/>
      <c r="CW35" s="34"/>
      <c r="CX35" s="35"/>
      <c r="CY35" s="35"/>
      <c r="CZ35" s="35"/>
    </row>
    <row r="36" spans="1:105" s="36" customFormat="1" x14ac:dyDescent="0.25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78"/>
      <c r="V36" s="78"/>
      <c r="W36" s="78"/>
      <c r="X36" s="78"/>
      <c r="Y36" s="78"/>
      <c r="Z36" s="78"/>
      <c r="AA36" s="78"/>
      <c r="AB36" s="78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32"/>
      <c r="BF36" s="33"/>
      <c r="BG36" s="33"/>
      <c r="BH36" s="33"/>
      <c r="BI36" s="34"/>
      <c r="BJ36" s="35"/>
      <c r="BK36" s="35"/>
      <c r="BL36" s="35"/>
      <c r="BM36" s="34"/>
      <c r="BN36" s="35"/>
      <c r="BO36" s="35"/>
      <c r="BP36" s="35"/>
      <c r="BQ36" s="34"/>
      <c r="BR36" s="35"/>
      <c r="BS36" s="35"/>
      <c r="BT36" s="35"/>
      <c r="BU36" s="32"/>
      <c r="BV36" s="33"/>
      <c r="BW36" s="33"/>
      <c r="BX36" s="33"/>
      <c r="BY36" s="34"/>
      <c r="BZ36" s="35"/>
      <c r="CA36" s="35"/>
      <c r="CB36" s="35"/>
      <c r="CC36" s="34"/>
      <c r="CD36" s="35"/>
      <c r="CE36" s="35"/>
      <c r="CF36" s="35"/>
      <c r="CG36" s="34"/>
      <c r="CH36" s="35"/>
      <c r="CI36" s="35"/>
      <c r="CJ36" s="35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</row>
    <row r="37" spans="1:105" s="29" customFormat="1" ht="15" customHeight="1" x14ac:dyDescent="0.25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78"/>
      <c r="V37" s="78"/>
      <c r="W37" s="78"/>
      <c r="X37" s="78"/>
      <c r="Y37" s="78"/>
      <c r="Z37" s="78"/>
      <c r="AA37" s="78"/>
      <c r="AB37" s="78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</row>
    <row r="38" spans="1:105" s="29" customFormat="1" x14ac:dyDescent="0.25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78"/>
      <c r="V38" s="78"/>
      <c r="W38" s="78"/>
      <c r="X38" s="78"/>
      <c r="Y38" s="78"/>
      <c r="Z38" s="78"/>
      <c r="AA38" s="78"/>
      <c r="AB38" s="78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</row>
    <row r="39" spans="1:105" s="6" customFormat="1" x14ac:dyDescent="0.25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78"/>
      <c r="V39" s="78"/>
      <c r="W39" s="78"/>
      <c r="X39" s="78"/>
      <c r="Y39" s="78"/>
      <c r="Z39" s="78"/>
      <c r="AA39" s="78"/>
      <c r="AB39" s="78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</row>
    <row r="40" spans="1:105" s="6" customForma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78"/>
      <c r="V40" s="78"/>
      <c r="W40" s="78"/>
      <c r="X40" s="78"/>
      <c r="Y40" s="78"/>
      <c r="Z40" s="78"/>
      <c r="AA40" s="78"/>
      <c r="AB40" s="78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</row>
    <row r="41" spans="1:105" s="6" customFormat="1" x14ac:dyDescent="0.25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78"/>
      <c r="V41" s="78"/>
      <c r="W41" s="78"/>
      <c r="X41" s="78"/>
      <c r="Y41" s="78"/>
      <c r="Z41" s="78"/>
      <c r="AA41" s="78"/>
      <c r="AB41" s="78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</row>
    <row r="42" spans="1:105" s="6" customFormat="1" x14ac:dyDescent="0.25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78"/>
      <c r="V42" s="78"/>
      <c r="W42" s="78"/>
      <c r="X42" s="78"/>
      <c r="Y42" s="78"/>
      <c r="Z42" s="78"/>
      <c r="AA42" s="78"/>
      <c r="AB42" s="78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</row>
    <row r="43" spans="1:105" s="6" customFormat="1" x14ac:dyDescent="0.25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78"/>
      <c r="V43" s="78"/>
      <c r="W43" s="78"/>
      <c r="X43" s="78"/>
      <c r="Y43" s="78"/>
      <c r="Z43" s="78"/>
      <c r="AA43" s="78"/>
      <c r="AB43" s="78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</row>
    <row r="44" spans="1:105" s="6" customFormat="1" x14ac:dyDescent="0.25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78"/>
      <c r="V44" s="78"/>
      <c r="W44" s="78"/>
      <c r="X44" s="78"/>
      <c r="Y44" s="78"/>
      <c r="Z44" s="78"/>
      <c r="AA44" s="78"/>
      <c r="AB44" s="78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</row>
    <row r="45" spans="1:105" s="6" customFormat="1" x14ac:dyDescent="0.25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78"/>
      <c r="V45" s="78"/>
      <c r="W45" s="78"/>
      <c r="X45" s="78"/>
      <c r="Y45" s="78"/>
      <c r="Z45" s="78"/>
      <c r="AA45" s="78"/>
      <c r="AB45" s="78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</row>
    <row r="46" spans="1:105" s="6" customFormat="1" x14ac:dyDescent="0.25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78"/>
      <c r="V46" s="78"/>
      <c r="W46" s="78"/>
      <c r="X46" s="78"/>
      <c r="Y46" s="78"/>
      <c r="Z46" s="78"/>
      <c r="AA46" s="78"/>
      <c r="AB46" s="78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</row>
    <row r="47" spans="1:105" s="6" customFormat="1" x14ac:dyDescent="0.25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78"/>
      <c r="V47" s="78"/>
      <c r="W47" s="78"/>
      <c r="X47" s="78"/>
      <c r="Y47" s="78"/>
      <c r="Z47" s="78"/>
      <c r="AA47" s="78"/>
      <c r="AB47" s="78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</row>
    <row r="48" spans="1:105" s="6" customFormat="1" x14ac:dyDescent="0.25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78"/>
      <c r="V48" s="78"/>
      <c r="W48" s="78"/>
      <c r="X48" s="78"/>
      <c r="Y48" s="78"/>
      <c r="Z48" s="78"/>
      <c r="AA48" s="78"/>
      <c r="AB48" s="78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</row>
    <row r="49" spans="1:104" s="6" customFormat="1" x14ac:dyDescent="0.25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78"/>
      <c r="V49" s="78"/>
      <c r="W49" s="78"/>
      <c r="X49" s="78"/>
      <c r="Y49" s="78"/>
      <c r="Z49" s="78"/>
      <c r="AA49" s="78"/>
      <c r="AB49" s="78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</row>
    <row r="50" spans="1:104" s="6" customFormat="1" x14ac:dyDescent="0.25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78"/>
      <c r="V50" s="78"/>
      <c r="W50" s="78"/>
      <c r="X50" s="78"/>
      <c r="Y50" s="78"/>
      <c r="Z50" s="78"/>
      <c r="AA50" s="78"/>
      <c r="AB50" s="78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</row>
    <row r="51" spans="1:104" s="6" customFormat="1" x14ac:dyDescent="0.25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78"/>
      <c r="V51" s="78"/>
      <c r="W51" s="78"/>
      <c r="X51" s="78"/>
      <c r="Y51" s="78"/>
      <c r="Z51" s="78"/>
      <c r="AA51" s="78"/>
      <c r="AB51" s="78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</row>
    <row r="52" spans="1:104" s="6" customFormat="1" x14ac:dyDescent="0.25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78"/>
      <c r="V52" s="78"/>
      <c r="W52" s="78"/>
      <c r="X52" s="78"/>
      <c r="Y52" s="78"/>
      <c r="Z52" s="78"/>
      <c r="AA52" s="78"/>
      <c r="AB52" s="78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</row>
    <row r="53" spans="1:104" s="6" customFormat="1" x14ac:dyDescent="0.25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78"/>
      <c r="V53" s="78"/>
      <c r="W53" s="78"/>
      <c r="X53" s="78"/>
      <c r="Y53" s="78"/>
      <c r="Z53" s="78"/>
      <c r="AA53" s="78"/>
      <c r="AB53" s="78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</row>
    <row r="54" spans="1:104" s="36" customFormat="1" ht="10.5" customHeight="1" x14ac:dyDescent="0.25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78"/>
      <c r="V54" s="78"/>
      <c r="W54" s="78"/>
      <c r="X54" s="78"/>
      <c r="Y54" s="78"/>
      <c r="Z54" s="78"/>
      <c r="AA54" s="78"/>
      <c r="AB54" s="78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</row>
    <row r="55" spans="1:104" s="36" customFormat="1" x14ac:dyDescent="0.25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78"/>
      <c r="V55" s="78"/>
      <c r="W55" s="78"/>
      <c r="X55" s="78"/>
      <c r="Y55" s="78"/>
      <c r="Z55" s="78"/>
      <c r="AA55" s="78"/>
      <c r="AB55" s="78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</row>
    <row r="56" spans="1:104" s="36" customFormat="1" x14ac:dyDescent="0.25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78"/>
      <c r="V56" s="78"/>
      <c r="W56" s="78"/>
      <c r="X56" s="78"/>
      <c r="Y56" s="78"/>
      <c r="Z56" s="78"/>
      <c r="AA56" s="78"/>
      <c r="AB56" s="78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</row>
    <row r="57" spans="1:104" s="29" customFormat="1" ht="15" customHeight="1" x14ac:dyDescent="0.25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78"/>
      <c r="V57" s="78"/>
      <c r="W57" s="78"/>
      <c r="X57" s="78"/>
      <c r="Y57" s="78"/>
      <c r="Z57" s="78"/>
      <c r="AA57" s="78"/>
      <c r="AB57" s="78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</row>
    <row r="58" spans="1:104" s="29" customFormat="1" x14ac:dyDescent="0.25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78"/>
      <c r="V58" s="78"/>
      <c r="W58" s="78"/>
      <c r="X58" s="78"/>
      <c r="Y58" s="78"/>
      <c r="Z58" s="78"/>
      <c r="AA58" s="78"/>
      <c r="AB58" s="78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</row>
    <row r="59" spans="1:104" s="6" customFormat="1" x14ac:dyDescent="0.25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78"/>
      <c r="V59" s="78"/>
      <c r="W59" s="78"/>
      <c r="X59" s="78"/>
      <c r="Y59" s="78"/>
      <c r="Z59" s="78"/>
      <c r="AA59" s="78"/>
      <c r="AB59" s="78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</row>
    <row r="60" spans="1:104" s="6" customFormat="1" x14ac:dyDescent="0.25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78"/>
      <c r="V60" s="78"/>
      <c r="W60" s="78"/>
      <c r="X60" s="78"/>
      <c r="Y60" s="78"/>
      <c r="Z60" s="78"/>
      <c r="AA60" s="78"/>
      <c r="AB60" s="78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</row>
    <row r="61" spans="1:104" s="6" customFormat="1" x14ac:dyDescent="0.25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78"/>
      <c r="V61" s="78"/>
      <c r="W61" s="78"/>
      <c r="X61" s="78"/>
      <c r="Y61" s="78"/>
      <c r="Z61" s="78"/>
      <c r="AA61" s="78"/>
      <c r="AB61" s="78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</row>
    <row r="62" spans="1:104" s="6" customFormat="1" x14ac:dyDescent="0.25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78"/>
      <c r="V62" s="78"/>
      <c r="W62" s="78"/>
      <c r="X62" s="78"/>
      <c r="Y62" s="78"/>
      <c r="Z62" s="78"/>
      <c r="AA62" s="78"/>
      <c r="AB62" s="78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</row>
    <row r="63" spans="1:104" s="6" customFormat="1" x14ac:dyDescent="0.25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78"/>
      <c r="V63" s="78"/>
      <c r="W63" s="78"/>
      <c r="X63" s="78"/>
      <c r="Y63" s="78"/>
      <c r="Z63" s="78"/>
      <c r="AA63" s="78"/>
      <c r="AB63" s="78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</row>
    <row r="64" spans="1:104" s="6" customFormat="1" x14ac:dyDescent="0.25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78"/>
      <c r="V64" s="78"/>
      <c r="W64" s="78"/>
      <c r="X64" s="78"/>
      <c r="Y64" s="78"/>
      <c r="Z64" s="78"/>
      <c r="AA64" s="78"/>
      <c r="AB64" s="78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</row>
    <row r="65" spans="1:104" s="6" customFormat="1" x14ac:dyDescent="0.25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78"/>
      <c r="V65" s="78"/>
      <c r="W65" s="78"/>
      <c r="X65" s="78"/>
      <c r="Y65" s="78"/>
      <c r="Z65" s="78"/>
      <c r="AA65" s="78"/>
      <c r="AB65" s="78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</row>
    <row r="66" spans="1:104" s="6" customFormat="1" x14ac:dyDescent="0.25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78"/>
      <c r="V66" s="78"/>
      <c r="W66" s="78"/>
      <c r="X66" s="78"/>
      <c r="Y66" s="78"/>
      <c r="Z66" s="78"/>
      <c r="AA66" s="78"/>
      <c r="AB66" s="78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</row>
    <row r="67" spans="1:104" s="6" customFormat="1" x14ac:dyDescent="0.25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78"/>
      <c r="V67" s="78"/>
      <c r="W67" s="78"/>
      <c r="X67" s="78"/>
      <c r="Y67" s="78"/>
      <c r="Z67" s="78"/>
      <c r="AA67" s="78"/>
      <c r="AB67" s="78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</row>
    <row r="68" spans="1:104" s="6" customFormat="1" x14ac:dyDescent="0.25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78"/>
      <c r="V68" s="78"/>
      <c r="W68" s="78"/>
      <c r="X68" s="78"/>
      <c r="Y68" s="78"/>
      <c r="Z68" s="78"/>
      <c r="AA68" s="78"/>
      <c r="AB68" s="78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</row>
    <row r="69" spans="1:104" s="6" customFormat="1" x14ac:dyDescent="0.25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78"/>
      <c r="V69" s="78"/>
      <c r="W69" s="78"/>
      <c r="X69" s="78"/>
      <c r="Y69" s="78"/>
      <c r="Z69" s="78"/>
      <c r="AA69" s="78"/>
      <c r="AB69" s="78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</row>
    <row r="70" spans="1:104" s="6" customFormat="1" x14ac:dyDescent="0.25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78"/>
      <c r="V70" s="78"/>
      <c r="W70" s="78"/>
      <c r="X70" s="78"/>
      <c r="Y70" s="78"/>
      <c r="Z70" s="78"/>
      <c r="AA70" s="78"/>
      <c r="AB70" s="78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</row>
    <row r="71" spans="1:104" s="6" customFormat="1" x14ac:dyDescent="0.25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78"/>
      <c r="V71" s="78"/>
      <c r="W71" s="78"/>
      <c r="X71" s="78"/>
      <c r="Y71" s="78"/>
      <c r="Z71" s="78"/>
      <c r="AA71" s="78"/>
      <c r="AB71" s="78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</row>
    <row r="72" spans="1:104" s="6" customFormat="1" x14ac:dyDescent="0.25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78"/>
      <c r="V72" s="78"/>
      <c r="W72" s="78"/>
      <c r="X72" s="78"/>
      <c r="Y72" s="78"/>
      <c r="Z72" s="78"/>
      <c r="AA72" s="78"/>
      <c r="AB72" s="78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</row>
    <row r="73" spans="1:104" s="6" customFormat="1" x14ac:dyDescent="0.25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78"/>
      <c r="V73" s="78"/>
      <c r="W73" s="78"/>
      <c r="X73" s="78"/>
      <c r="Y73" s="78"/>
      <c r="Z73" s="78"/>
      <c r="AA73" s="78"/>
      <c r="AB73" s="78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</row>
    <row r="74" spans="1:104" s="36" customFormat="1" ht="10.5" customHeight="1" x14ac:dyDescent="0.25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78"/>
      <c r="V74" s="78"/>
      <c r="W74" s="78"/>
      <c r="X74" s="78"/>
      <c r="Y74" s="78"/>
      <c r="Z74" s="78"/>
      <c r="AA74" s="78"/>
      <c r="AB74" s="78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</row>
    <row r="75" spans="1:104" s="36" customFormat="1" x14ac:dyDescent="0.25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78"/>
      <c r="V75" s="78"/>
      <c r="W75" s="78"/>
      <c r="X75" s="78"/>
      <c r="Y75" s="78"/>
      <c r="Z75" s="78"/>
      <c r="AA75" s="78"/>
      <c r="AB75" s="78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</row>
    <row r="76" spans="1:104" s="36" customFormat="1" x14ac:dyDescent="0.25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78"/>
      <c r="V76" s="78"/>
      <c r="W76" s="78"/>
      <c r="X76" s="78"/>
      <c r="Y76" s="78"/>
      <c r="Z76" s="78"/>
      <c r="AA76" s="78"/>
      <c r="AB76" s="78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</row>
    <row r="77" spans="1:104" s="29" customFormat="1" ht="15" customHeight="1" x14ac:dyDescent="0.25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78"/>
      <c r="V77" s="78"/>
      <c r="W77" s="78"/>
      <c r="X77" s="78"/>
      <c r="Y77" s="78"/>
      <c r="Z77" s="78"/>
      <c r="AA77" s="78"/>
      <c r="AB77" s="78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</row>
    <row r="78" spans="1:104" s="29" customFormat="1" x14ac:dyDescent="0.25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78"/>
      <c r="V78" s="78"/>
      <c r="W78" s="78"/>
      <c r="X78" s="78"/>
      <c r="Y78" s="78"/>
      <c r="Z78" s="78"/>
      <c r="AA78" s="78"/>
      <c r="AB78" s="78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</row>
    <row r="79" spans="1:104" s="6" customFormat="1" x14ac:dyDescent="0.25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78"/>
      <c r="V79" s="78"/>
      <c r="W79" s="78"/>
      <c r="X79" s="78"/>
      <c r="Y79" s="78"/>
      <c r="Z79" s="78"/>
      <c r="AA79" s="78"/>
      <c r="AB79" s="78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</row>
    <row r="80" spans="1:104" s="6" customFormat="1" x14ac:dyDescent="0.25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78"/>
      <c r="V80" s="78"/>
      <c r="W80" s="78"/>
      <c r="X80" s="78"/>
      <c r="Y80" s="78"/>
      <c r="Z80" s="78"/>
      <c r="AA80" s="78"/>
      <c r="AB80" s="78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</row>
    <row r="81" spans="1:104" s="6" customFormat="1" x14ac:dyDescent="0.25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78"/>
      <c r="V81" s="78"/>
      <c r="W81" s="78"/>
      <c r="X81" s="78"/>
      <c r="Y81" s="78"/>
      <c r="Z81" s="78"/>
      <c r="AA81" s="78"/>
      <c r="AB81" s="78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</row>
    <row r="82" spans="1:104" s="6" customFormat="1" x14ac:dyDescent="0.25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78"/>
      <c r="V82" s="78"/>
      <c r="W82" s="78"/>
      <c r="X82" s="78"/>
      <c r="Y82" s="78"/>
      <c r="Z82" s="78"/>
      <c r="AA82" s="78"/>
      <c r="AB82" s="78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</row>
    <row r="83" spans="1:104" s="6" customFormat="1" x14ac:dyDescent="0.25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78"/>
      <c r="V83" s="78"/>
      <c r="W83" s="78"/>
      <c r="X83" s="78"/>
      <c r="Y83" s="78"/>
      <c r="Z83" s="78"/>
      <c r="AA83" s="78"/>
      <c r="AB83" s="78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</row>
    <row r="84" spans="1:104" s="6" customFormat="1" x14ac:dyDescent="0.25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78"/>
      <c r="V84" s="78"/>
      <c r="W84" s="78"/>
      <c r="X84" s="78"/>
      <c r="Y84" s="78"/>
      <c r="Z84" s="78"/>
      <c r="AA84" s="78"/>
      <c r="AB84" s="78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</row>
    <row r="85" spans="1:104" s="6" customFormat="1" x14ac:dyDescent="0.25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78"/>
      <c r="V85" s="78"/>
      <c r="W85" s="78"/>
      <c r="X85" s="78"/>
      <c r="Y85" s="78"/>
      <c r="Z85" s="78"/>
      <c r="AA85" s="78"/>
      <c r="AB85" s="78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</row>
    <row r="86" spans="1:104" s="6" customFormat="1" x14ac:dyDescent="0.25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78"/>
      <c r="V86" s="78"/>
      <c r="W86" s="78"/>
      <c r="X86" s="78"/>
      <c r="Y86" s="78"/>
      <c r="Z86" s="78"/>
      <c r="AA86" s="78"/>
      <c r="AB86" s="78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</row>
    <row r="87" spans="1:104" s="6" customFormat="1" x14ac:dyDescent="0.25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78"/>
      <c r="V87" s="78"/>
      <c r="W87" s="78"/>
      <c r="X87" s="78"/>
      <c r="Y87" s="78"/>
      <c r="Z87" s="78"/>
      <c r="AA87" s="78"/>
      <c r="AB87" s="78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</row>
    <row r="88" spans="1:104" s="6" customFormat="1" x14ac:dyDescent="0.25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78"/>
      <c r="V88" s="78"/>
      <c r="W88" s="78"/>
      <c r="X88" s="78"/>
      <c r="Y88" s="78"/>
      <c r="Z88" s="78"/>
      <c r="AA88" s="78"/>
      <c r="AB88" s="78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</row>
    <row r="89" spans="1:104" s="6" customFormat="1" x14ac:dyDescent="0.25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78"/>
      <c r="V89" s="78"/>
      <c r="W89" s="78"/>
      <c r="X89" s="78"/>
      <c r="Y89" s="78"/>
      <c r="Z89" s="78"/>
      <c r="AA89" s="78"/>
      <c r="AB89" s="78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</row>
    <row r="90" spans="1:104" s="6" customFormat="1" x14ac:dyDescent="0.25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78"/>
      <c r="V90" s="78"/>
      <c r="W90" s="78"/>
      <c r="X90" s="78"/>
      <c r="Y90" s="78"/>
      <c r="Z90" s="78"/>
      <c r="AA90" s="78"/>
      <c r="AB90" s="78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63"/>
      <c r="BX90" s="63"/>
      <c r="BY90" s="63"/>
      <c r="BZ90" s="63"/>
      <c r="CA90" s="63"/>
      <c r="CB90" s="63"/>
      <c r="CC90" s="63"/>
      <c r="CD90" s="63"/>
      <c r="CE90" s="63"/>
      <c r="CF90" s="63"/>
      <c r="CG90" s="63"/>
      <c r="CH90" s="63"/>
      <c r="CI90" s="63"/>
      <c r="CJ90" s="63"/>
      <c r="CK90" s="63"/>
      <c r="CL90" s="63"/>
      <c r="CM90" s="63"/>
      <c r="CN90" s="63"/>
      <c r="CO90" s="63"/>
      <c r="CP90" s="63"/>
      <c r="CQ90" s="63"/>
      <c r="CR90" s="63"/>
      <c r="CS90" s="63"/>
      <c r="CT90" s="63"/>
      <c r="CU90" s="63"/>
      <c r="CV90" s="63"/>
      <c r="CW90" s="63"/>
      <c r="CX90" s="63"/>
      <c r="CY90" s="63"/>
      <c r="CZ90" s="63"/>
    </row>
    <row r="91" spans="1:104" s="6" customFormat="1" x14ac:dyDescent="0.25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78"/>
      <c r="V91" s="78"/>
      <c r="W91" s="78"/>
      <c r="X91" s="78"/>
      <c r="Y91" s="78"/>
      <c r="Z91" s="78"/>
      <c r="AA91" s="78"/>
      <c r="AB91" s="78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3"/>
      <c r="CW91" s="63"/>
      <c r="CX91" s="63"/>
      <c r="CY91" s="63"/>
      <c r="CZ91" s="63"/>
    </row>
    <row r="92" spans="1:104" s="6" customFormat="1" x14ac:dyDescent="0.25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78"/>
      <c r="V92" s="78"/>
      <c r="W92" s="78"/>
      <c r="X92" s="78"/>
      <c r="Y92" s="78"/>
      <c r="Z92" s="78"/>
      <c r="AA92" s="78"/>
      <c r="AB92" s="78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63"/>
      <c r="CF92" s="63"/>
      <c r="CG92" s="63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  <c r="CS92" s="63"/>
      <c r="CT92" s="63"/>
      <c r="CU92" s="63"/>
      <c r="CV92" s="63"/>
      <c r="CW92" s="63"/>
      <c r="CX92" s="63"/>
      <c r="CY92" s="63"/>
      <c r="CZ92" s="63"/>
    </row>
    <row r="93" spans="1:104" s="6" customFormat="1" x14ac:dyDescent="0.25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78"/>
      <c r="V93" s="78"/>
      <c r="W93" s="78"/>
      <c r="X93" s="78"/>
      <c r="Y93" s="78"/>
      <c r="Z93" s="78"/>
      <c r="AA93" s="78"/>
      <c r="AB93" s="78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63"/>
      <c r="CF93" s="63"/>
      <c r="CG93" s="63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  <c r="CS93" s="63"/>
      <c r="CT93" s="63"/>
      <c r="CU93" s="63"/>
      <c r="CV93" s="63"/>
      <c r="CW93" s="63"/>
      <c r="CX93" s="63"/>
      <c r="CY93" s="63"/>
      <c r="CZ93" s="63"/>
    </row>
    <row r="94" spans="1:104" s="36" customFormat="1" ht="8.25" customHeight="1" x14ac:dyDescent="0.25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78"/>
      <c r="V94" s="78"/>
      <c r="W94" s="78"/>
      <c r="X94" s="78"/>
      <c r="Y94" s="78"/>
      <c r="Z94" s="78"/>
      <c r="AA94" s="78"/>
      <c r="AB94" s="78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63"/>
      <c r="BR94" s="63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63"/>
      <c r="CE94" s="63"/>
      <c r="CF94" s="63"/>
      <c r="CG94" s="63"/>
      <c r="CH94" s="63"/>
      <c r="CI94" s="63"/>
      <c r="CJ94" s="63"/>
      <c r="CK94" s="63"/>
      <c r="CL94" s="63"/>
      <c r="CM94" s="63"/>
      <c r="CN94" s="63"/>
      <c r="CO94" s="63"/>
      <c r="CP94" s="63"/>
      <c r="CQ94" s="63"/>
      <c r="CR94" s="63"/>
      <c r="CS94" s="63"/>
      <c r="CT94" s="63"/>
      <c r="CU94" s="63"/>
      <c r="CV94" s="63"/>
      <c r="CW94" s="63"/>
      <c r="CX94" s="63"/>
      <c r="CY94" s="63"/>
      <c r="CZ94" s="63"/>
    </row>
    <row r="95" spans="1:104" s="36" customFormat="1" x14ac:dyDescent="0.2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78"/>
      <c r="V95" s="78"/>
      <c r="W95" s="78"/>
      <c r="X95" s="78"/>
      <c r="Y95" s="78"/>
      <c r="Z95" s="78"/>
      <c r="AA95" s="78"/>
      <c r="AB95" s="78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  <c r="CA95" s="63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  <c r="CS95" s="63"/>
      <c r="CT95" s="63"/>
      <c r="CU95" s="63"/>
      <c r="CV95" s="63"/>
      <c r="CW95" s="63"/>
      <c r="CX95" s="63"/>
      <c r="CY95" s="63"/>
      <c r="CZ95" s="63"/>
    </row>
    <row r="96" spans="1:104" s="36" customFormat="1" x14ac:dyDescent="0.25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78"/>
      <c r="V96" s="78"/>
      <c r="W96" s="78"/>
      <c r="X96" s="78"/>
      <c r="Y96" s="78"/>
      <c r="Z96" s="78"/>
      <c r="AA96" s="78"/>
      <c r="AB96" s="78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  <c r="BW96" s="63"/>
      <c r="BX96" s="63"/>
      <c r="BY96" s="63"/>
      <c r="BZ96" s="63"/>
      <c r="CA96" s="63"/>
      <c r="CB96" s="63"/>
      <c r="CC96" s="63"/>
      <c r="CD96" s="63"/>
      <c r="CE96" s="63"/>
      <c r="CF96" s="63"/>
      <c r="CG96" s="63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3"/>
      <c r="CW96" s="63"/>
      <c r="CX96" s="63"/>
      <c r="CY96" s="63"/>
      <c r="CZ96" s="63"/>
    </row>
    <row r="97" spans="1:104" s="29" customFormat="1" ht="15" customHeight="1" x14ac:dyDescent="0.25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78"/>
      <c r="V97" s="78"/>
      <c r="W97" s="78"/>
      <c r="X97" s="78"/>
      <c r="Y97" s="78"/>
      <c r="Z97" s="78"/>
      <c r="AA97" s="78"/>
      <c r="AB97" s="78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</row>
    <row r="98" spans="1:104" s="29" customFormat="1" x14ac:dyDescent="0.25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78"/>
      <c r="V98" s="78"/>
      <c r="W98" s="78"/>
      <c r="X98" s="78"/>
      <c r="Y98" s="78"/>
      <c r="Z98" s="78"/>
      <c r="AA98" s="78"/>
      <c r="AB98" s="78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</row>
    <row r="99" spans="1:104" s="6" customFormat="1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78"/>
      <c r="V99" s="78"/>
      <c r="W99" s="78"/>
      <c r="X99" s="78"/>
      <c r="Y99" s="78"/>
      <c r="Z99" s="78"/>
      <c r="AA99" s="78"/>
      <c r="AB99" s="78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BY99" s="63"/>
      <c r="BZ99" s="63"/>
      <c r="CA99" s="63"/>
      <c r="CB99" s="63"/>
      <c r="CC99" s="63"/>
      <c r="CD99" s="63"/>
      <c r="CE99" s="63"/>
      <c r="CF99" s="63"/>
      <c r="CG99" s="63"/>
      <c r="CH99" s="63"/>
      <c r="CI99" s="63"/>
      <c r="CJ99" s="63"/>
      <c r="CK99" s="63"/>
      <c r="CL99" s="63"/>
      <c r="CM99" s="63"/>
      <c r="CN99" s="63"/>
      <c r="CO99" s="63"/>
      <c r="CP99" s="63"/>
      <c r="CQ99" s="63"/>
      <c r="CR99" s="63"/>
      <c r="CS99" s="63"/>
      <c r="CT99" s="63"/>
      <c r="CU99" s="63"/>
      <c r="CV99" s="63"/>
      <c r="CW99" s="63"/>
      <c r="CX99" s="63"/>
      <c r="CY99" s="63"/>
      <c r="CZ99" s="63"/>
    </row>
    <row r="100" spans="1:104" s="6" customFormat="1" x14ac:dyDescent="0.25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78"/>
      <c r="V100" s="78"/>
      <c r="W100" s="78"/>
      <c r="X100" s="78"/>
      <c r="Y100" s="78"/>
      <c r="Z100" s="78"/>
      <c r="AA100" s="78"/>
      <c r="AB100" s="78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63"/>
      <c r="BO100" s="63"/>
      <c r="BP100" s="63"/>
      <c r="BQ100" s="63"/>
      <c r="BR100" s="63"/>
      <c r="BS100" s="63"/>
      <c r="BT100" s="63"/>
      <c r="BU100" s="63"/>
      <c r="BV100" s="63"/>
      <c r="BW100" s="63"/>
      <c r="BX100" s="63"/>
      <c r="BY100" s="63"/>
      <c r="BZ100" s="63"/>
      <c r="CA100" s="63"/>
      <c r="CB100" s="63"/>
      <c r="CC100" s="63"/>
      <c r="CD100" s="63"/>
      <c r="CE100" s="63"/>
      <c r="CF100" s="63"/>
      <c r="CG100" s="63"/>
      <c r="CH100" s="63"/>
      <c r="CI100" s="63"/>
      <c r="CJ100" s="63"/>
      <c r="CK100" s="63"/>
      <c r="CL100" s="63"/>
      <c r="CM100" s="63"/>
      <c r="CN100" s="63"/>
      <c r="CO100" s="63"/>
      <c r="CP100" s="63"/>
      <c r="CQ100" s="63"/>
      <c r="CR100" s="63"/>
      <c r="CS100" s="63"/>
      <c r="CT100" s="63"/>
      <c r="CU100" s="63"/>
      <c r="CV100" s="63"/>
      <c r="CW100" s="63"/>
      <c r="CX100" s="63"/>
      <c r="CY100" s="63"/>
      <c r="CZ100" s="63"/>
    </row>
    <row r="101" spans="1:104" s="6" customFormat="1" x14ac:dyDescent="0.25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78"/>
      <c r="V101" s="78"/>
      <c r="W101" s="78"/>
      <c r="X101" s="78"/>
      <c r="Y101" s="78"/>
      <c r="Z101" s="78"/>
      <c r="AA101" s="78"/>
      <c r="AB101" s="78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63"/>
      <c r="BO101" s="63"/>
      <c r="BP101" s="63"/>
      <c r="BQ101" s="63"/>
      <c r="BR101" s="63"/>
      <c r="BS101" s="63"/>
      <c r="BT101" s="63"/>
      <c r="BU101" s="63"/>
      <c r="BV101" s="63"/>
      <c r="BW101" s="63"/>
      <c r="BX101" s="63"/>
      <c r="BY101" s="63"/>
      <c r="BZ101" s="63"/>
      <c r="CA101" s="63"/>
      <c r="CB101" s="63"/>
      <c r="CC101" s="63"/>
      <c r="CD101" s="63"/>
      <c r="CE101" s="63"/>
      <c r="CF101" s="63"/>
      <c r="CG101" s="63"/>
      <c r="CH101" s="63"/>
      <c r="CI101" s="63"/>
      <c r="CJ101" s="63"/>
      <c r="CK101" s="63"/>
      <c r="CL101" s="63"/>
      <c r="CM101" s="63"/>
      <c r="CN101" s="63"/>
      <c r="CO101" s="63"/>
      <c r="CP101" s="63"/>
      <c r="CQ101" s="63"/>
      <c r="CR101" s="63"/>
      <c r="CS101" s="63"/>
      <c r="CT101" s="63"/>
      <c r="CU101" s="63"/>
      <c r="CV101" s="63"/>
      <c r="CW101" s="63"/>
      <c r="CX101" s="63"/>
      <c r="CY101" s="63"/>
      <c r="CZ101" s="63"/>
    </row>
    <row r="102" spans="1:104" s="6" customFormat="1" x14ac:dyDescent="0.25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78"/>
      <c r="V102" s="78"/>
      <c r="W102" s="78"/>
      <c r="X102" s="78"/>
      <c r="Y102" s="78"/>
      <c r="Z102" s="78"/>
      <c r="AA102" s="78"/>
      <c r="AB102" s="78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  <c r="CA102" s="63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  <c r="CS102" s="63"/>
      <c r="CT102" s="63"/>
      <c r="CU102" s="63"/>
      <c r="CV102" s="63"/>
      <c r="CW102" s="63"/>
      <c r="CX102" s="63"/>
      <c r="CY102" s="63"/>
      <c r="CZ102" s="63"/>
    </row>
    <row r="103" spans="1:104" s="6" customFormat="1" x14ac:dyDescent="0.25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78"/>
      <c r="V103" s="78"/>
      <c r="W103" s="78"/>
      <c r="X103" s="78"/>
      <c r="Y103" s="78"/>
      <c r="Z103" s="78"/>
      <c r="AA103" s="78"/>
      <c r="AB103" s="78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  <c r="BN103" s="63"/>
      <c r="BO103" s="63"/>
      <c r="BP103" s="63"/>
      <c r="BQ103" s="63"/>
      <c r="BR103" s="63"/>
      <c r="BS103" s="63"/>
      <c r="BT103" s="63"/>
      <c r="BU103" s="63"/>
      <c r="BV103" s="63"/>
      <c r="BW103" s="63"/>
      <c r="BX103" s="63"/>
      <c r="BY103" s="63"/>
      <c r="BZ103" s="63"/>
      <c r="CA103" s="63"/>
      <c r="CB103" s="63"/>
      <c r="CC103" s="63"/>
      <c r="CD103" s="63"/>
      <c r="CE103" s="63"/>
      <c r="CF103" s="63"/>
      <c r="CG103" s="63"/>
      <c r="CH103" s="63"/>
      <c r="CI103" s="63"/>
      <c r="CJ103" s="63"/>
      <c r="CK103" s="63"/>
      <c r="CL103" s="63"/>
      <c r="CM103" s="63"/>
      <c r="CN103" s="63"/>
      <c r="CO103" s="63"/>
      <c r="CP103" s="63"/>
      <c r="CQ103" s="63"/>
      <c r="CR103" s="63"/>
      <c r="CS103" s="63"/>
      <c r="CT103" s="63"/>
      <c r="CU103" s="63"/>
      <c r="CV103" s="63"/>
      <c r="CW103" s="63"/>
      <c r="CX103" s="63"/>
      <c r="CY103" s="63"/>
      <c r="CZ103" s="63"/>
    </row>
    <row r="104" spans="1:104" s="6" customFormat="1" x14ac:dyDescent="0.25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78"/>
      <c r="V104" s="78"/>
      <c r="W104" s="78"/>
      <c r="X104" s="78"/>
      <c r="Y104" s="78"/>
      <c r="Z104" s="78"/>
      <c r="AA104" s="78"/>
      <c r="AB104" s="78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63"/>
      <c r="BN104" s="63"/>
      <c r="BO104" s="63"/>
      <c r="BP104" s="63"/>
      <c r="BQ104" s="63"/>
      <c r="BR104" s="63"/>
      <c r="BS104" s="63"/>
      <c r="BT104" s="63"/>
      <c r="BU104" s="63"/>
      <c r="BV104" s="63"/>
      <c r="BW104" s="63"/>
      <c r="BX104" s="63"/>
      <c r="BY104" s="63"/>
      <c r="BZ104" s="63"/>
      <c r="CA104" s="63"/>
      <c r="CB104" s="63"/>
      <c r="CC104" s="63"/>
      <c r="CD104" s="63"/>
      <c r="CE104" s="63"/>
      <c r="CF104" s="63"/>
      <c r="CG104" s="63"/>
      <c r="CH104" s="63"/>
      <c r="CI104" s="63"/>
      <c r="CJ104" s="63"/>
      <c r="CK104" s="63"/>
      <c r="CL104" s="63"/>
      <c r="CM104" s="63"/>
      <c r="CN104" s="63"/>
      <c r="CO104" s="63"/>
      <c r="CP104" s="63"/>
      <c r="CQ104" s="63"/>
      <c r="CR104" s="63"/>
      <c r="CS104" s="63"/>
      <c r="CT104" s="63"/>
      <c r="CU104" s="63"/>
      <c r="CV104" s="63"/>
      <c r="CW104" s="63"/>
      <c r="CX104" s="63"/>
      <c r="CY104" s="63"/>
      <c r="CZ104" s="63"/>
    </row>
    <row r="105" spans="1:104" s="6" customFormat="1" x14ac:dyDescent="0.2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78"/>
      <c r="V105" s="78"/>
      <c r="W105" s="78"/>
      <c r="X105" s="78"/>
      <c r="Y105" s="78"/>
      <c r="Z105" s="78"/>
      <c r="AA105" s="78"/>
      <c r="AB105" s="78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63"/>
      <c r="BO105" s="63"/>
      <c r="BP105" s="63"/>
      <c r="BQ105" s="63"/>
      <c r="BR105" s="63"/>
      <c r="BS105" s="63"/>
      <c r="BT105" s="63"/>
      <c r="BU105" s="63"/>
      <c r="BV105" s="63"/>
      <c r="BW105" s="63"/>
      <c r="BX105" s="63"/>
      <c r="BY105" s="63"/>
      <c r="BZ105" s="63"/>
      <c r="CA105" s="63"/>
      <c r="CB105" s="63"/>
      <c r="CC105" s="63"/>
      <c r="CD105" s="63"/>
      <c r="CE105" s="63"/>
      <c r="CF105" s="63"/>
      <c r="CG105" s="63"/>
      <c r="CH105" s="63"/>
      <c r="CI105" s="63"/>
      <c r="CJ105" s="63"/>
      <c r="CK105" s="63"/>
      <c r="CL105" s="63"/>
      <c r="CM105" s="63"/>
      <c r="CN105" s="63"/>
      <c r="CO105" s="63"/>
      <c r="CP105" s="63"/>
      <c r="CQ105" s="63"/>
      <c r="CR105" s="63"/>
      <c r="CS105" s="63"/>
      <c r="CT105" s="63"/>
      <c r="CU105" s="63"/>
      <c r="CV105" s="63"/>
      <c r="CW105" s="63"/>
      <c r="CX105" s="63"/>
      <c r="CY105" s="63"/>
      <c r="CZ105" s="63"/>
    </row>
    <row r="106" spans="1:104" s="6" customFormat="1" x14ac:dyDescent="0.25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78"/>
      <c r="V106" s="78"/>
      <c r="W106" s="78"/>
      <c r="X106" s="78"/>
      <c r="Y106" s="78"/>
      <c r="Z106" s="78"/>
      <c r="AA106" s="78"/>
      <c r="AB106" s="78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BJ106" s="63"/>
      <c r="BK106" s="63"/>
      <c r="BL106" s="63"/>
      <c r="BM106" s="63"/>
      <c r="BN106" s="63"/>
      <c r="BO106" s="63"/>
      <c r="BP106" s="63"/>
      <c r="BQ106" s="63"/>
      <c r="BR106" s="63"/>
      <c r="BS106" s="63"/>
      <c r="BT106" s="63"/>
      <c r="BU106" s="63"/>
      <c r="BV106" s="63"/>
      <c r="BW106" s="63"/>
      <c r="BX106" s="63"/>
      <c r="BY106" s="63"/>
      <c r="BZ106" s="63"/>
      <c r="CA106" s="63"/>
      <c r="CB106" s="63"/>
      <c r="CC106" s="63"/>
      <c r="CD106" s="63"/>
      <c r="CE106" s="63"/>
      <c r="CF106" s="63"/>
      <c r="CG106" s="63"/>
      <c r="CH106" s="63"/>
      <c r="CI106" s="63"/>
      <c r="CJ106" s="63"/>
      <c r="CK106" s="63"/>
      <c r="CL106" s="63"/>
      <c r="CM106" s="63"/>
      <c r="CN106" s="63"/>
      <c r="CO106" s="63"/>
      <c r="CP106" s="63"/>
      <c r="CQ106" s="63"/>
      <c r="CR106" s="63"/>
      <c r="CS106" s="63"/>
      <c r="CT106" s="63"/>
      <c r="CU106" s="63"/>
      <c r="CV106" s="63"/>
      <c r="CW106" s="63"/>
      <c r="CX106" s="63"/>
      <c r="CY106" s="63"/>
      <c r="CZ106" s="63"/>
    </row>
    <row r="107" spans="1:104" s="6" customFormat="1" x14ac:dyDescent="0.25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78"/>
      <c r="V107" s="78"/>
      <c r="W107" s="78"/>
      <c r="X107" s="78"/>
      <c r="Y107" s="78"/>
      <c r="Z107" s="78"/>
      <c r="AA107" s="78"/>
      <c r="AB107" s="78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  <c r="AX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  <c r="BL107" s="63"/>
      <c r="BM107" s="63"/>
      <c r="BN107" s="63"/>
      <c r="BO107" s="63"/>
      <c r="BP107" s="63"/>
      <c r="BQ107" s="63"/>
      <c r="BR107" s="63"/>
      <c r="BS107" s="63"/>
      <c r="BT107" s="63"/>
      <c r="BU107" s="63"/>
      <c r="BV107" s="63"/>
      <c r="BW107" s="63"/>
      <c r="BX107" s="63"/>
      <c r="BY107" s="63"/>
      <c r="BZ107" s="63"/>
      <c r="CA107" s="63"/>
      <c r="CB107" s="63"/>
      <c r="CC107" s="63"/>
      <c r="CD107" s="63"/>
      <c r="CE107" s="63"/>
      <c r="CF107" s="63"/>
      <c r="CG107" s="63"/>
      <c r="CH107" s="63"/>
      <c r="CI107" s="63"/>
      <c r="CJ107" s="63"/>
      <c r="CK107" s="63"/>
      <c r="CL107" s="63"/>
      <c r="CM107" s="63"/>
      <c r="CN107" s="63"/>
      <c r="CO107" s="63"/>
      <c r="CP107" s="63"/>
      <c r="CQ107" s="63"/>
      <c r="CR107" s="63"/>
      <c r="CS107" s="63"/>
      <c r="CT107" s="63"/>
      <c r="CU107" s="63"/>
      <c r="CV107" s="63"/>
      <c r="CW107" s="63"/>
      <c r="CX107" s="63"/>
      <c r="CY107" s="63"/>
      <c r="CZ107" s="63"/>
    </row>
    <row r="108" spans="1:104" s="6" customFormat="1" x14ac:dyDescent="0.25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78"/>
      <c r="V108" s="78"/>
      <c r="W108" s="78"/>
      <c r="X108" s="78"/>
      <c r="Y108" s="78"/>
      <c r="Z108" s="78"/>
      <c r="AA108" s="78"/>
      <c r="AB108" s="78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  <c r="BN108" s="63"/>
      <c r="BO108" s="63"/>
      <c r="BP108" s="63"/>
      <c r="BQ108" s="63"/>
      <c r="BR108" s="63"/>
      <c r="BS108" s="63"/>
      <c r="BT108" s="63"/>
      <c r="BU108" s="63"/>
      <c r="BV108" s="63"/>
      <c r="BW108" s="63"/>
      <c r="BX108" s="63"/>
      <c r="BY108" s="63"/>
      <c r="BZ108" s="63"/>
      <c r="CA108" s="63"/>
      <c r="CB108" s="63"/>
      <c r="CC108" s="63"/>
      <c r="CD108" s="63"/>
      <c r="CE108" s="63"/>
      <c r="CF108" s="63"/>
      <c r="CG108" s="63"/>
      <c r="CH108" s="63"/>
      <c r="CI108" s="63"/>
      <c r="CJ108" s="63"/>
      <c r="CK108" s="63"/>
      <c r="CL108" s="63"/>
      <c r="CM108" s="63"/>
      <c r="CN108" s="63"/>
      <c r="CO108" s="63"/>
      <c r="CP108" s="63"/>
      <c r="CQ108" s="63"/>
      <c r="CR108" s="63"/>
      <c r="CS108" s="63"/>
      <c r="CT108" s="63"/>
      <c r="CU108" s="63"/>
      <c r="CV108" s="63"/>
      <c r="CW108" s="63"/>
      <c r="CX108" s="63"/>
      <c r="CY108" s="63"/>
      <c r="CZ108" s="63"/>
    </row>
    <row r="109" spans="1:104" s="6" customFormat="1" x14ac:dyDescent="0.25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78"/>
      <c r="V109" s="78"/>
      <c r="W109" s="78"/>
      <c r="X109" s="78"/>
      <c r="Y109" s="78"/>
      <c r="Z109" s="78"/>
      <c r="AA109" s="78"/>
      <c r="AB109" s="78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  <c r="BN109" s="63"/>
      <c r="BO109" s="63"/>
      <c r="BP109" s="63"/>
      <c r="BQ109" s="63"/>
      <c r="BR109" s="63"/>
      <c r="BS109" s="63"/>
      <c r="BT109" s="63"/>
      <c r="BU109" s="63"/>
      <c r="BV109" s="63"/>
      <c r="BW109" s="63"/>
      <c r="BX109" s="63"/>
      <c r="BY109" s="63"/>
      <c r="BZ109" s="63"/>
      <c r="CA109" s="63"/>
      <c r="CB109" s="63"/>
      <c r="CC109" s="63"/>
      <c r="CD109" s="63"/>
      <c r="CE109" s="63"/>
      <c r="CF109" s="63"/>
      <c r="CG109" s="63"/>
      <c r="CH109" s="63"/>
      <c r="CI109" s="63"/>
      <c r="CJ109" s="63"/>
      <c r="CK109" s="63"/>
      <c r="CL109" s="63"/>
      <c r="CM109" s="63"/>
      <c r="CN109" s="63"/>
      <c r="CO109" s="63"/>
      <c r="CP109" s="63"/>
      <c r="CQ109" s="63"/>
      <c r="CR109" s="63"/>
      <c r="CS109" s="63"/>
      <c r="CT109" s="63"/>
      <c r="CU109" s="63"/>
      <c r="CV109" s="63"/>
      <c r="CW109" s="63"/>
      <c r="CX109" s="63"/>
      <c r="CY109" s="63"/>
      <c r="CZ109" s="63"/>
    </row>
    <row r="110" spans="1:104" s="6" customFormat="1" x14ac:dyDescent="0.25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78"/>
      <c r="V110" s="78"/>
      <c r="W110" s="78"/>
      <c r="X110" s="78"/>
      <c r="Y110" s="78"/>
      <c r="Z110" s="78"/>
      <c r="AA110" s="78"/>
      <c r="AB110" s="78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AX110" s="63"/>
      <c r="AY110" s="63"/>
      <c r="AZ110" s="63"/>
      <c r="BA110" s="63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  <c r="BL110" s="63"/>
      <c r="BM110" s="63"/>
      <c r="BN110" s="63"/>
      <c r="BO110" s="63"/>
      <c r="BP110" s="63"/>
      <c r="BQ110" s="63"/>
      <c r="BR110" s="63"/>
      <c r="BS110" s="63"/>
      <c r="BT110" s="63"/>
      <c r="BU110" s="63"/>
      <c r="BV110" s="63"/>
      <c r="BW110" s="63"/>
      <c r="BX110" s="63"/>
      <c r="BY110" s="63"/>
      <c r="BZ110" s="63"/>
      <c r="CA110" s="63"/>
      <c r="CB110" s="63"/>
      <c r="CC110" s="63"/>
      <c r="CD110" s="63"/>
      <c r="CE110" s="63"/>
      <c r="CF110" s="63"/>
      <c r="CG110" s="63"/>
      <c r="CH110" s="63"/>
      <c r="CI110" s="63"/>
      <c r="CJ110" s="63"/>
      <c r="CK110" s="63"/>
      <c r="CL110" s="63"/>
      <c r="CM110" s="63"/>
      <c r="CN110" s="63"/>
      <c r="CO110" s="63"/>
      <c r="CP110" s="63"/>
      <c r="CQ110" s="63"/>
      <c r="CR110" s="63"/>
      <c r="CS110" s="63"/>
      <c r="CT110" s="63"/>
      <c r="CU110" s="63"/>
      <c r="CV110" s="63"/>
      <c r="CW110" s="63"/>
      <c r="CX110" s="63"/>
      <c r="CY110" s="63"/>
      <c r="CZ110" s="63"/>
    </row>
    <row r="111" spans="1:104" s="6" customFormat="1" x14ac:dyDescent="0.25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78"/>
      <c r="V111" s="78"/>
      <c r="W111" s="78"/>
      <c r="X111" s="78"/>
      <c r="Y111" s="78"/>
      <c r="Z111" s="78"/>
      <c r="AA111" s="78"/>
      <c r="AB111" s="78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63"/>
      <c r="BN111" s="63"/>
      <c r="BO111" s="63"/>
      <c r="BP111" s="63"/>
      <c r="BQ111" s="63"/>
      <c r="BR111" s="63"/>
      <c r="BS111" s="63"/>
      <c r="BT111" s="63"/>
      <c r="BU111" s="63"/>
      <c r="BV111" s="63"/>
      <c r="BW111" s="63"/>
      <c r="BX111" s="63"/>
      <c r="BY111" s="63"/>
      <c r="BZ111" s="63"/>
      <c r="CA111" s="63"/>
      <c r="CB111" s="63"/>
      <c r="CC111" s="63"/>
      <c r="CD111" s="63"/>
      <c r="CE111" s="63"/>
      <c r="CF111" s="63"/>
      <c r="CG111" s="63"/>
      <c r="CH111" s="63"/>
      <c r="CI111" s="63"/>
      <c r="CJ111" s="63"/>
      <c r="CK111" s="63"/>
      <c r="CL111" s="63"/>
      <c r="CM111" s="63"/>
      <c r="CN111" s="63"/>
      <c r="CO111" s="63"/>
      <c r="CP111" s="63"/>
      <c r="CQ111" s="63"/>
      <c r="CR111" s="63"/>
      <c r="CS111" s="63"/>
      <c r="CT111" s="63"/>
      <c r="CU111" s="63"/>
      <c r="CV111" s="63"/>
      <c r="CW111" s="63"/>
      <c r="CX111" s="63"/>
      <c r="CY111" s="63"/>
      <c r="CZ111" s="63"/>
    </row>
    <row r="112" spans="1:104" s="6" customFormat="1" x14ac:dyDescent="0.25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78"/>
      <c r="V112" s="78"/>
      <c r="W112" s="78"/>
      <c r="X112" s="78"/>
      <c r="Y112" s="78"/>
      <c r="Z112" s="78"/>
      <c r="AA112" s="78"/>
      <c r="AB112" s="78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AX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  <c r="BL112" s="63"/>
      <c r="BM112" s="63"/>
      <c r="BN112" s="63"/>
      <c r="BO112" s="63"/>
      <c r="BP112" s="63"/>
      <c r="BQ112" s="63"/>
      <c r="BR112" s="63"/>
      <c r="BS112" s="63"/>
      <c r="BT112" s="63"/>
      <c r="BU112" s="63"/>
      <c r="BV112" s="63"/>
      <c r="BW112" s="63"/>
      <c r="BX112" s="63"/>
      <c r="BY112" s="63"/>
      <c r="BZ112" s="63"/>
      <c r="CA112" s="63"/>
      <c r="CB112" s="63"/>
      <c r="CC112" s="63"/>
      <c r="CD112" s="63"/>
      <c r="CE112" s="63"/>
      <c r="CF112" s="63"/>
      <c r="CG112" s="63"/>
      <c r="CH112" s="63"/>
      <c r="CI112" s="63"/>
      <c r="CJ112" s="63"/>
      <c r="CK112" s="63"/>
      <c r="CL112" s="63"/>
      <c r="CM112" s="63"/>
      <c r="CN112" s="63"/>
      <c r="CO112" s="63"/>
      <c r="CP112" s="63"/>
      <c r="CQ112" s="63"/>
      <c r="CR112" s="63"/>
      <c r="CS112" s="63"/>
      <c r="CT112" s="63"/>
      <c r="CU112" s="63"/>
      <c r="CV112" s="63"/>
      <c r="CW112" s="63"/>
      <c r="CX112" s="63"/>
      <c r="CY112" s="63"/>
      <c r="CZ112" s="63"/>
    </row>
    <row r="113" spans="1:104" s="6" customFormat="1" x14ac:dyDescent="0.25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78"/>
      <c r="V113" s="78"/>
      <c r="W113" s="78"/>
      <c r="X113" s="78"/>
      <c r="Y113" s="78"/>
      <c r="Z113" s="78"/>
      <c r="AA113" s="78"/>
      <c r="AB113" s="78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X113" s="63"/>
      <c r="AY113" s="63"/>
      <c r="AZ113" s="63"/>
      <c r="BA113" s="63"/>
      <c r="BB113" s="63"/>
      <c r="BC113" s="63"/>
      <c r="BD113" s="63"/>
      <c r="BE113" s="63"/>
      <c r="BF113" s="63"/>
      <c r="BG113" s="63"/>
      <c r="BH113" s="63"/>
      <c r="BI113" s="63"/>
      <c r="BJ113" s="63"/>
      <c r="BK113" s="63"/>
      <c r="BL113" s="63"/>
      <c r="BM113" s="63"/>
      <c r="BN113" s="63"/>
      <c r="BO113" s="63"/>
      <c r="BP113" s="63"/>
      <c r="BQ113" s="63"/>
      <c r="BR113" s="63"/>
      <c r="BS113" s="63"/>
      <c r="BT113" s="63"/>
      <c r="BU113" s="63"/>
      <c r="BV113" s="63"/>
      <c r="BW113" s="63"/>
      <c r="BX113" s="63"/>
      <c r="BY113" s="63"/>
      <c r="BZ113" s="63"/>
      <c r="CA113" s="63"/>
      <c r="CB113" s="63"/>
      <c r="CC113" s="63"/>
      <c r="CD113" s="63"/>
      <c r="CE113" s="63"/>
      <c r="CF113" s="63"/>
      <c r="CG113" s="63"/>
      <c r="CH113" s="63"/>
      <c r="CI113" s="63"/>
      <c r="CJ113" s="63"/>
      <c r="CK113" s="63"/>
      <c r="CL113" s="63"/>
      <c r="CM113" s="63"/>
      <c r="CN113" s="63"/>
      <c r="CO113" s="63"/>
      <c r="CP113" s="63"/>
      <c r="CQ113" s="63"/>
      <c r="CR113" s="63"/>
      <c r="CS113" s="63"/>
      <c r="CT113" s="63"/>
      <c r="CU113" s="63"/>
      <c r="CV113" s="63"/>
      <c r="CW113" s="63"/>
      <c r="CX113" s="63"/>
      <c r="CY113" s="63"/>
      <c r="CZ113" s="63"/>
    </row>
    <row r="114" spans="1:104" s="36" customFormat="1" ht="8.25" customHeight="1" x14ac:dyDescent="0.25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78"/>
      <c r="V114" s="78"/>
      <c r="W114" s="78"/>
      <c r="X114" s="78"/>
      <c r="Y114" s="78"/>
      <c r="Z114" s="78"/>
      <c r="AA114" s="78"/>
      <c r="AB114" s="78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  <c r="BL114" s="63"/>
      <c r="BM114" s="63"/>
      <c r="BN114" s="63"/>
      <c r="BO114" s="63"/>
      <c r="BP114" s="63"/>
      <c r="BQ114" s="63"/>
      <c r="BR114" s="63"/>
      <c r="BS114" s="63"/>
      <c r="BT114" s="63"/>
      <c r="BU114" s="63"/>
      <c r="BV114" s="63"/>
      <c r="BW114" s="63"/>
      <c r="BX114" s="63"/>
      <c r="BY114" s="63"/>
      <c r="BZ114" s="63"/>
      <c r="CA114" s="63"/>
      <c r="CB114" s="63"/>
      <c r="CC114" s="63"/>
      <c r="CD114" s="63"/>
      <c r="CE114" s="63"/>
      <c r="CF114" s="63"/>
      <c r="CG114" s="63"/>
      <c r="CH114" s="63"/>
      <c r="CI114" s="63"/>
      <c r="CJ114" s="63"/>
      <c r="CK114" s="63"/>
      <c r="CL114" s="63"/>
      <c r="CM114" s="63"/>
      <c r="CN114" s="63"/>
      <c r="CO114" s="63"/>
      <c r="CP114" s="63"/>
      <c r="CQ114" s="63"/>
      <c r="CR114" s="63"/>
      <c r="CS114" s="63"/>
      <c r="CT114" s="63"/>
      <c r="CU114" s="63"/>
      <c r="CV114" s="63"/>
      <c r="CW114" s="63"/>
      <c r="CX114" s="63"/>
      <c r="CY114" s="63"/>
      <c r="CZ114" s="63"/>
    </row>
    <row r="115" spans="1:104" s="36" customFormat="1" x14ac:dyDescent="0.25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78"/>
      <c r="V115" s="78"/>
      <c r="W115" s="78"/>
      <c r="X115" s="78"/>
      <c r="Y115" s="78"/>
      <c r="Z115" s="78"/>
      <c r="AA115" s="78"/>
      <c r="AB115" s="78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  <c r="BL115" s="63"/>
      <c r="BM115" s="63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</row>
  </sheetData>
  <sortState ref="A13:H32">
    <sortCondition ref="A13:A32"/>
  </sortState>
  <mergeCells count="103">
    <mergeCell ref="Q1:AN1"/>
    <mergeCell ref="AO1:BD1"/>
    <mergeCell ref="BE1:BT1"/>
    <mergeCell ref="BU1:CJ1"/>
    <mergeCell ref="CK1:CZ1"/>
    <mergeCell ref="A2:P2"/>
    <mergeCell ref="Q2:AN2"/>
    <mergeCell ref="AO2:BD2"/>
    <mergeCell ref="BE2:BT2"/>
    <mergeCell ref="BU2:CJ2"/>
    <mergeCell ref="A4:P4"/>
    <mergeCell ref="Q4:AN4"/>
    <mergeCell ref="AO4:BD4"/>
    <mergeCell ref="BE4:BT4"/>
    <mergeCell ref="BU4:CJ4"/>
    <mergeCell ref="CK4:CZ4"/>
    <mergeCell ref="CK2:CZ2"/>
    <mergeCell ref="A3:P3"/>
    <mergeCell ref="Q3:AN3"/>
    <mergeCell ref="AO3:BD3"/>
    <mergeCell ref="BE3:BT3"/>
    <mergeCell ref="BU3:CJ3"/>
    <mergeCell ref="CK3:CZ3"/>
    <mergeCell ref="A6:P6"/>
    <mergeCell ref="Q6:AN6"/>
    <mergeCell ref="AO6:BD6"/>
    <mergeCell ref="BE6:BT6"/>
    <mergeCell ref="BU6:CJ6"/>
    <mergeCell ref="CK6:CZ6"/>
    <mergeCell ref="A5:P5"/>
    <mergeCell ref="Q5:AN5"/>
    <mergeCell ref="AO5:BD5"/>
    <mergeCell ref="BE5:BT5"/>
    <mergeCell ref="BU5:CJ5"/>
    <mergeCell ref="CK5:CZ5"/>
    <mergeCell ref="A8:P8"/>
    <mergeCell ref="Q8:AN8"/>
    <mergeCell ref="AO8:BD8"/>
    <mergeCell ref="BE8:BT8"/>
    <mergeCell ref="BU8:CJ8"/>
    <mergeCell ref="CK8:CZ8"/>
    <mergeCell ref="A7:P7"/>
    <mergeCell ref="Q7:AN7"/>
    <mergeCell ref="AO7:BD7"/>
    <mergeCell ref="BE7:BT7"/>
    <mergeCell ref="BU7:CJ7"/>
    <mergeCell ref="CK7:CZ7"/>
    <mergeCell ref="BE10:BT10"/>
    <mergeCell ref="BU10:CJ10"/>
    <mergeCell ref="CK10:CZ10"/>
    <mergeCell ref="A9:P9"/>
    <mergeCell ref="Q9:AN9"/>
    <mergeCell ref="AO9:BD9"/>
    <mergeCell ref="BE9:BT9"/>
    <mergeCell ref="BU9:CJ9"/>
    <mergeCell ref="CK9:CZ9"/>
    <mergeCell ref="A11:A12"/>
    <mergeCell ref="B11:B12"/>
    <mergeCell ref="C11:C12"/>
    <mergeCell ref="D11:D12"/>
    <mergeCell ref="F11:H11"/>
    <mergeCell ref="J11:L11"/>
    <mergeCell ref="A10:P10"/>
    <mergeCell ref="Q10:AN10"/>
    <mergeCell ref="AO10:BD10"/>
    <mergeCell ref="AH11:AJ11"/>
    <mergeCell ref="AL11:AN11"/>
    <mergeCell ref="AO11:AO12"/>
    <mergeCell ref="AP11:AP12"/>
    <mergeCell ref="AQ11:AQ12"/>
    <mergeCell ref="AR11:AR12"/>
    <mergeCell ref="N11:P11"/>
    <mergeCell ref="Q11:Q12"/>
    <mergeCell ref="R11:R12"/>
    <mergeCell ref="S11:S12"/>
    <mergeCell ref="T11:T12"/>
    <mergeCell ref="AD11:AF11"/>
    <mergeCell ref="V11:X11"/>
    <mergeCell ref="Z11:AB11"/>
    <mergeCell ref="BH11:BH12"/>
    <mergeCell ref="BJ11:BL11"/>
    <mergeCell ref="BN11:BP11"/>
    <mergeCell ref="BR11:BT11"/>
    <mergeCell ref="BU11:BU12"/>
    <mergeCell ref="BV11:BV12"/>
    <mergeCell ref="AT11:AV11"/>
    <mergeCell ref="AX11:AZ11"/>
    <mergeCell ref="BB11:BD11"/>
    <mergeCell ref="BE11:BE12"/>
    <mergeCell ref="BF11:BF12"/>
    <mergeCell ref="BG11:BG12"/>
    <mergeCell ref="CL11:CL12"/>
    <mergeCell ref="CM11:CM12"/>
    <mergeCell ref="CN11:CN12"/>
    <mergeCell ref="CP11:CR11"/>
    <mergeCell ref="CT11:CV11"/>
    <mergeCell ref="CX11:CZ11"/>
    <mergeCell ref="BW11:BW12"/>
    <mergeCell ref="BX11:BX12"/>
    <mergeCell ref="BZ11:CB11"/>
    <mergeCell ref="CD11:CF11"/>
    <mergeCell ref="CH11:CJ11"/>
    <mergeCell ref="CK11:CK12"/>
  </mergeCells>
  <printOptions horizontalCentered="1"/>
  <pageMargins left="0.31496062992125984" right="0.31496062992125984" top="0.74803149606299213" bottom="0.35433070866141736" header="0.31496062992125984" footer="0.31496062992125984"/>
  <pageSetup paperSize="9" scale="70" fitToWidth="3" fitToHeight="2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5"/>
  <sheetViews>
    <sheetView topLeftCell="A25" zoomScaleNormal="100" workbookViewId="0">
      <selection activeCell="F29" sqref="F29"/>
    </sheetView>
  </sheetViews>
  <sheetFormatPr defaultRowHeight="15" x14ac:dyDescent="0.25"/>
  <cols>
    <col min="1" max="1" width="4.5703125" style="63" customWidth="1"/>
    <col min="2" max="2" width="5.85546875" style="63" customWidth="1"/>
    <col min="3" max="3" width="23.28515625" style="63" bestFit="1" customWidth="1"/>
    <col min="4" max="4" width="19.7109375" style="63" bestFit="1" customWidth="1"/>
    <col min="5" max="5" width="12.28515625" style="63" bestFit="1" customWidth="1"/>
    <col min="6" max="6" width="10" style="63" bestFit="1" customWidth="1"/>
    <col min="7" max="7" width="7.5703125" style="63" customWidth="1"/>
    <col min="8" max="8" width="8.7109375" style="63" customWidth="1"/>
    <col min="9" max="16384" width="9.140625" style="63"/>
  </cols>
  <sheetData>
    <row r="1" spans="1:8" x14ac:dyDescent="0.25">
      <c r="A1" s="79" t="str">
        <f>Данные!B66</f>
        <v>Российская автомобильная федерация</v>
      </c>
      <c r="B1" s="79"/>
      <c r="C1" s="79"/>
      <c r="D1" s="79"/>
      <c r="E1" s="79"/>
      <c r="F1" s="79"/>
      <c r="G1" s="79"/>
      <c r="H1" s="79"/>
    </row>
    <row r="2" spans="1:8" x14ac:dyDescent="0.25">
      <c r="A2" s="79" t="str">
        <f>Данные!B67</f>
        <v>ФАС Челябинской области</v>
      </c>
      <c r="B2" s="79"/>
      <c r="C2" s="79"/>
      <c r="D2" s="79"/>
      <c r="E2" s="79"/>
      <c r="F2" s="79"/>
      <c r="G2" s="79"/>
      <c r="H2" s="79"/>
    </row>
    <row r="3" spans="1:8" x14ac:dyDescent="0.25">
      <c r="A3" s="79" t="str">
        <f>Данные!B68</f>
        <v xml:space="preserve">Команда  Red Off-road Expedition </v>
      </c>
      <c r="B3" s="79"/>
      <c r="C3" s="79"/>
      <c r="D3" s="79"/>
      <c r="E3" s="79"/>
      <c r="F3" s="79"/>
      <c r="G3" s="79"/>
      <c r="H3" s="79"/>
    </row>
    <row r="4" spans="1:8" x14ac:dyDescent="0.25">
      <c r="A4" s="79" t="str">
        <f>Данные!B69</f>
        <v>ООО «Внедорожный центр 4х4»</v>
      </c>
      <c r="B4" s="79"/>
      <c r="C4" s="79"/>
      <c r="D4" s="79"/>
      <c r="E4" s="79"/>
      <c r="F4" s="79"/>
      <c r="G4" s="79"/>
      <c r="H4" s="79"/>
    </row>
    <row r="5" spans="1:8" x14ac:dyDescent="0.25">
      <c r="A5" s="79" t="str">
        <f>Данные!B70</f>
        <v>Команда Pro-X</v>
      </c>
      <c r="B5" s="79"/>
      <c r="C5" s="79"/>
      <c r="D5" s="79"/>
      <c r="E5" s="79"/>
      <c r="F5" s="79"/>
      <c r="G5" s="79"/>
      <c r="H5" s="79"/>
    </row>
    <row r="6" spans="1:8" x14ac:dyDescent="0.25">
      <c r="A6" s="79" t="str">
        <f>Данные!B71</f>
        <v>Этап кубка Урало-Сибирской зоны по трофи-рейдам</v>
      </c>
      <c r="B6" s="79"/>
      <c r="C6" s="79"/>
      <c r="D6" s="79"/>
      <c r="E6" s="79"/>
      <c r="F6" s="79"/>
      <c r="G6" s="79"/>
      <c r="H6" s="79"/>
    </row>
    <row r="7" spans="1:8" x14ac:dyDescent="0.25">
      <c r="A7" s="99"/>
      <c r="B7" s="99"/>
      <c r="C7" s="99"/>
      <c r="D7" s="99"/>
      <c r="E7" s="99"/>
      <c r="F7" s="99"/>
      <c r="G7" s="99"/>
      <c r="H7" s="99"/>
    </row>
    <row r="8" spans="1:8" x14ac:dyDescent="0.25">
      <c r="A8" s="100">
        <v>43358</v>
      </c>
      <c r="B8" s="100"/>
      <c r="C8" s="100"/>
      <c r="H8" s="60" t="s">
        <v>159</v>
      </c>
    </row>
    <row r="9" spans="1:8" s="19" customFormat="1" x14ac:dyDescent="0.25">
      <c r="A9" s="81" t="s">
        <v>165</v>
      </c>
      <c r="B9" s="81"/>
      <c r="C9" s="81"/>
      <c r="D9" s="81"/>
      <c r="E9" s="81"/>
      <c r="F9" s="81"/>
      <c r="G9" s="81"/>
      <c r="H9" s="81"/>
    </row>
    <row r="10" spans="1:8" x14ac:dyDescent="0.25">
      <c r="A10" s="63" t="str">
        <f>Данные!B61</f>
        <v>ОФИЦИАЛЬНО</v>
      </c>
      <c r="H10" s="53">
        <f>Данные!C61</f>
        <v>0.91666666666666663</v>
      </c>
    </row>
    <row r="11" spans="1:8" s="3" customFormat="1" ht="12.75" x14ac:dyDescent="0.25">
      <c r="A11" s="82" t="s">
        <v>154</v>
      </c>
      <c r="B11" s="82" t="s">
        <v>111</v>
      </c>
      <c r="C11" s="82" t="s">
        <v>1</v>
      </c>
      <c r="D11" s="82" t="s">
        <v>3</v>
      </c>
      <c r="E11" s="83" t="s">
        <v>4</v>
      </c>
      <c r="F11" s="92" t="s">
        <v>155</v>
      </c>
      <c r="G11" s="94" t="s">
        <v>156</v>
      </c>
      <c r="H11" s="82"/>
    </row>
    <row r="12" spans="1:8" s="3" customFormat="1" ht="33.75" x14ac:dyDescent="0.25">
      <c r="A12" s="82"/>
      <c r="B12" s="82"/>
      <c r="C12" s="82"/>
      <c r="D12" s="82"/>
      <c r="E12" s="83"/>
      <c r="F12" s="93"/>
      <c r="G12" s="28" t="s">
        <v>161</v>
      </c>
      <c r="H12" s="28" t="s">
        <v>160</v>
      </c>
    </row>
    <row r="13" spans="1:8" s="6" customFormat="1" ht="60" x14ac:dyDescent="0.25">
      <c r="A13" s="26">
        <f>VLOOKUP($B13,TAB,133,FALSE)</f>
        <v>1</v>
      </c>
      <c r="B13" s="25">
        <v>303</v>
      </c>
      <c r="C13" s="11" t="str">
        <f>VLOOKUP($B13,TAB,2,FALSE)</f>
        <v>Яснов Александр Павлович
Клюсов Евгений Петрович</v>
      </c>
      <c r="D13" s="11" t="str">
        <f>VLOOKUP($B13,TAB,4,FALSE)</f>
        <v>Тюмень
Тюмень</v>
      </c>
      <c r="E13" s="11" t="str">
        <f>VLOOKUP($B13,TAB,5,FALSE)</f>
        <v>Suzuki Jimny</v>
      </c>
      <c r="F13" s="26">
        <f>VLOOKUP($B13,TAB,132,FALSE)</f>
        <v>1362</v>
      </c>
      <c r="G13" s="27" t="str">
        <f>IF(F13="СХОД","СХОД",IF(A13=1,"**",$F$13-F13))</f>
        <v>**</v>
      </c>
      <c r="H13" s="27" t="str">
        <f>IF(F13="СХОД","СХОД",IF(A13=1,"**",F12-F13))</f>
        <v>**</v>
      </c>
    </row>
    <row r="14" spans="1:8" s="6" customFormat="1" ht="60" x14ac:dyDescent="0.25">
      <c r="A14" s="26">
        <f>VLOOKUP($B14,TAB,133,FALSE)</f>
        <v>2</v>
      </c>
      <c r="B14" s="25">
        <v>308</v>
      </c>
      <c r="C14" s="11" t="str">
        <f>VLOOKUP($B14,TAB,2,FALSE)</f>
        <v>Нигматуллин Ильшат Ришатович
Чуманов Сергей Владимирович</v>
      </c>
      <c r="D14" s="11" t="str">
        <f>VLOOKUP($B14,TAB,4,FALSE)</f>
        <v>Уфа
Уфа</v>
      </c>
      <c r="E14" s="11" t="str">
        <f>VLOOKUP($B14,TAB,5,FALSE)</f>
        <v>ВАЗ 21214</v>
      </c>
      <c r="F14" s="26">
        <f>VLOOKUP($B14,TAB,132,FALSE)</f>
        <v>1305</v>
      </c>
      <c r="G14" s="27">
        <f>IF(F14="СХОД","СХОД",IF(A14=1,"**",$F$13-F14))</f>
        <v>57</v>
      </c>
      <c r="H14" s="27">
        <f>IF(F14="СХОД","СХОД",IF(A14=1,"**",F13-F14))</f>
        <v>57</v>
      </c>
    </row>
    <row r="15" spans="1:8" s="6" customFormat="1" ht="60" x14ac:dyDescent="0.25">
      <c r="A15" s="26">
        <f>VLOOKUP($B15,TAB,133,FALSE)</f>
        <v>3</v>
      </c>
      <c r="B15" s="25">
        <v>306</v>
      </c>
      <c r="C15" s="11" t="str">
        <f>VLOOKUP($B15,TAB,2,FALSE)</f>
        <v>Маньков Игорь Анатольевич
Охотников Максим Дмитриевич</v>
      </c>
      <c r="D15" s="11" t="str">
        <f>VLOOKUP($B15,TAB,4,FALSE)</f>
        <v>Екатеринбург
Снежинск</v>
      </c>
      <c r="E15" s="11" t="str">
        <f>VLOOKUP($B15,TAB,5,FALSE)</f>
        <v>TLC 70</v>
      </c>
      <c r="F15" s="26">
        <f>VLOOKUP($B15,TAB,132,FALSE)</f>
        <v>1210</v>
      </c>
      <c r="G15" s="27">
        <f>IF(F15="СХОД","СХОД",IF(A15=1,"**",$F$13-F15))</f>
        <v>152</v>
      </c>
      <c r="H15" s="27">
        <f>IF(F15="СХОД","СХОД",IF(A15=1,"**",F14-F15))</f>
        <v>95</v>
      </c>
    </row>
    <row r="16" spans="1:8" s="6" customFormat="1" ht="60" x14ac:dyDescent="0.25">
      <c r="A16" s="26">
        <f>VLOOKUP($B16,TAB,133,FALSE)</f>
        <v>4</v>
      </c>
      <c r="B16" s="25">
        <v>319</v>
      </c>
      <c r="C16" s="11" t="str">
        <f>VLOOKUP($B16,TAB,2,FALSE)</f>
        <v>Тимофеев Александр Николаевич
Белкин Александр Сергеевич</v>
      </c>
      <c r="D16" s="11" t="str">
        <f>VLOOKUP($B16,TAB,4,FALSE)</f>
        <v>Пермь
Пермь</v>
      </c>
      <c r="E16" s="11" t="str">
        <f>VLOOKUP($B16,TAB,5,FALSE)</f>
        <v>Нива</v>
      </c>
      <c r="F16" s="26">
        <f>VLOOKUP($B16,TAB,132,FALSE)</f>
        <v>1058</v>
      </c>
      <c r="G16" s="27">
        <f>IF(F16="СХОД","СХОД",IF(A16=1,"**",$F$13-F16))</f>
        <v>304</v>
      </c>
      <c r="H16" s="27">
        <f>IF(F16="СХОД","СХОД",IF(A16=1,"**",F15-F16))</f>
        <v>152</v>
      </c>
    </row>
    <row r="17" spans="1:8" s="6" customFormat="1" ht="60" x14ac:dyDescent="0.25">
      <c r="A17" s="26">
        <f>VLOOKUP($B17,TAB,133,FALSE)</f>
        <v>5</v>
      </c>
      <c r="B17" s="25">
        <v>208</v>
      </c>
      <c r="C17" s="11" t="str">
        <f>VLOOKUP($B17,TAB,2,FALSE)</f>
        <v>Корбков Алексей Сергеевич
Корбков Алексей Сергеевич</v>
      </c>
      <c r="D17" s="11" t="str">
        <f>VLOOKUP($B17,TAB,4,FALSE)</f>
        <v>Тюмень
Тюмень</v>
      </c>
      <c r="E17" s="11" t="str">
        <f>VLOOKUP($B17,TAB,5,FALSE)</f>
        <v>ВАЗ 2121</v>
      </c>
      <c r="F17" s="26">
        <f>VLOOKUP($B17,TAB,132,FALSE)</f>
        <v>735</v>
      </c>
      <c r="G17" s="27">
        <f>IF(F17="СХОД","СХОД",IF(A17=1,"**",$F$13-F17))</f>
        <v>627</v>
      </c>
      <c r="H17" s="27">
        <f>IF(F17="СХОД","СХОД",IF(A17=1,"**",F16-F17))</f>
        <v>323</v>
      </c>
    </row>
    <row r="18" spans="1:8" s="6" customFormat="1" ht="60" x14ac:dyDescent="0.25">
      <c r="A18" s="26">
        <f>VLOOKUP($B18,TAB,133,FALSE)</f>
        <v>6</v>
      </c>
      <c r="B18" s="25">
        <v>307</v>
      </c>
      <c r="C18" s="11" t="str">
        <f>VLOOKUP($B18,TAB,2,FALSE)</f>
        <v>Мякишев Егор Алексеевич
Харламов Евгений Сергеевич</v>
      </c>
      <c r="D18" s="11" t="str">
        <f>VLOOKUP($B18,TAB,4,FALSE)</f>
        <v>Невьянск
Екатеринбург</v>
      </c>
      <c r="E18" s="11" t="str">
        <f>VLOOKUP($B18,TAB,5,FALSE)</f>
        <v>Suzuki Jimny</v>
      </c>
      <c r="F18" s="26">
        <f>VLOOKUP($B18,TAB,132,FALSE)</f>
        <v>723</v>
      </c>
      <c r="G18" s="27">
        <f>IF(F18="СХОД","СХОД",IF(A18=1,"**",$F$13-F18))</f>
        <v>639</v>
      </c>
      <c r="H18" s="27">
        <f>IF(F18="СХОД","СХОД",IF(A18=1,"**",F17-F18))</f>
        <v>12</v>
      </c>
    </row>
    <row r="19" spans="1:8" s="6" customFormat="1" ht="60" x14ac:dyDescent="0.25">
      <c r="A19" s="26">
        <f>VLOOKUP($B19,TAB,133,FALSE)</f>
        <v>7</v>
      </c>
      <c r="B19" s="25">
        <v>317</v>
      </c>
      <c r="C19" s="11" t="str">
        <f>VLOOKUP($B19,TAB,2,FALSE)</f>
        <v>Костромин Сергей Михайлович
Кольцов Виктор Александрович</v>
      </c>
      <c r="D19" s="11" t="str">
        <f>VLOOKUP($B19,TAB,4,FALSE)</f>
        <v>В. Пышма
В. Пышма</v>
      </c>
      <c r="E19" s="11" t="str">
        <f>VLOOKUP($B19,TAB,5,FALSE)</f>
        <v>УАЗ-31512</v>
      </c>
      <c r="F19" s="26">
        <f>VLOOKUP($B19,TAB,132,FALSE)</f>
        <v>685</v>
      </c>
      <c r="G19" s="27">
        <f>IF(F19="СХОД","СХОД",IF(A19=1,"**",$F$13-F19))</f>
        <v>677</v>
      </c>
      <c r="H19" s="27">
        <f>IF(F19="СХОД","СХОД",IF(A19=1,"**",F18-F19))</f>
        <v>38</v>
      </c>
    </row>
    <row r="20" spans="1:8" s="6" customFormat="1" ht="60" x14ac:dyDescent="0.25">
      <c r="A20" s="26">
        <f>VLOOKUP($B20,TAB,133,FALSE)</f>
        <v>8</v>
      </c>
      <c r="B20" s="25">
        <v>315</v>
      </c>
      <c r="C20" s="11" t="str">
        <f>VLOOKUP($B20,TAB,2,FALSE)</f>
        <v>Чуешов Дмитрий Александрович
Глебов Дмитрий Владимирович</v>
      </c>
      <c r="D20" s="11" t="str">
        <f>VLOOKUP($B20,TAB,4,FALSE)</f>
        <v>Екатеринбург
Екатеринбург</v>
      </c>
      <c r="E20" s="11" t="str">
        <f>VLOOKUP($B20,TAB,5,FALSE)</f>
        <v>УАЗ-469</v>
      </c>
      <c r="F20" s="26">
        <f>VLOOKUP($B20,TAB,132,FALSE)</f>
        <v>675</v>
      </c>
      <c r="G20" s="27">
        <f>IF(F20="СХОД","СХОД",IF(A20=1,"**",$F$13-F20))</f>
        <v>687</v>
      </c>
      <c r="H20" s="27">
        <f>IF(F20="СХОД","СХОД",IF(A20=1,"**",F19-F20))</f>
        <v>10</v>
      </c>
    </row>
    <row r="21" spans="1:8" s="6" customFormat="1" ht="60" x14ac:dyDescent="0.25">
      <c r="A21" s="26">
        <f>VLOOKUP($B21,TAB,133,FALSE)</f>
        <v>9</v>
      </c>
      <c r="B21" s="25">
        <v>314</v>
      </c>
      <c r="C21" s="11" t="str">
        <f>VLOOKUP($B21,TAB,2,FALSE)</f>
        <v>Ачимов Павел Викторович
Алчебаев Николай Юрьевич</v>
      </c>
      <c r="D21" s="11" t="str">
        <f>VLOOKUP($B21,TAB,4,FALSE)</f>
        <v>Екатеринбург
Екатеринбург</v>
      </c>
      <c r="E21" s="11" t="str">
        <f>VLOOKUP($B21,TAB,5,FALSE)</f>
        <v>Jeep Cherokee Wagoner</v>
      </c>
      <c r="F21" s="26">
        <f>VLOOKUP($B21,TAB,132,FALSE)</f>
        <v>639</v>
      </c>
      <c r="G21" s="27">
        <f>IF(F21="СХОД","СХОД",IF(A21=1,"**",$F$13-F21))</f>
        <v>723</v>
      </c>
      <c r="H21" s="27">
        <f>IF(F21="СХОД","СХОД",IF(A21=1,"**",F20-F21))</f>
        <v>36</v>
      </c>
    </row>
    <row r="22" spans="1:8" s="6" customFormat="1" ht="60" x14ac:dyDescent="0.25">
      <c r="A22" s="26">
        <f>VLOOKUP($B22,TAB,133,FALSE)</f>
        <v>10</v>
      </c>
      <c r="B22" s="25">
        <v>311</v>
      </c>
      <c r="C22" s="11" t="str">
        <f>VLOOKUP($B22,TAB,2,FALSE)</f>
        <v>Плотников Андрей Юрьевич
Прокопович Арсений Витальевич</v>
      </c>
      <c r="D22" s="11" t="str">
        <f>VLOOKUP($B22,TAB,4,FALSE)</f>
        <v>Тюмень
Тюмень</v>
      </c>
      <c r="E22" s="11" t="str">
        <f>VLOOKUP($B22,TAB,5,FALSE)</f>
        <v>Нива 2121</v>
      </c>
      <c r="F22" s="26">
        <f>VLOOKUP($B22,TAB,132,FALSE)</f>
        <v>587</v>
      </c>
      <c r="G22" s="27">
        <f>IF(F22="СХОД","СХОД",IF(A22=1,"**",$F$13-F22))</f>
        <v>775</v>
      </c>
      <c r="H22" s="27">
        <f>IF(F22="СХОД","СХОД",IF(A22=1,"**",F21-F22))</f>
        <v>52</v>
      </c>
    </row>
    <row r="23" spans="1:8" s="6" customFormat="1" ht="60" x14ac:dyDescent="0.25">
      <c r="A23" s="26">
        <f>VLOOKUP($B23,TAB,133,FALSE)</f>
        <v>11</v>
      </c>
      <c r="B23" s="25">
        <v>310</v>
      </c>
      <c r="C23" s="11" t="str">
        <f>VLOOKUP($B23,TAB,2,FALSE)</f>
        <v>Пантелеев Сергей Павлович
Ефремов Кирилл Андреевич</v>
      </c>
      <c r="D23" s="11" t="str">
        <f>VLOOKUP($B23,TAB,4,FALSE)</f>
        <v>Челябинск
Челябинск</v>
      </c>
      <c r="E23" s="11" t="str">
        <f>VLOOKUP($B23,TAB,5,FALSE)</f>
        <v>Jeep Grand Cherokee</v>
      </c>
      <c r="F23" s="26">
        <f>VLOOKUP($B23,TAB,132,FALSE)</f>
        <v>562</v>
      </c>
      <c r="G23" s="27">
        <f>IF(F23="СХОД","СХОД",IF(A23=1,"**",$F$13-F23))</f>
        <v>800</v>
      </c>
      <c r="H23" s="27">
        <f>IF(F23="СХОД","СХОД",IF(A23=1,"**",F22-F23))</f>
        <v>25</v>
      </c>
    </row>
    <row r="24" spans="1:8" s="6" customFormat="1" ht="60" x14ac:dyDescent="0.25">
      <c r="A24" s="26">
        <f>VLOOKUP($B24,TAB,133,FALSE)</f>
        <v>12</v>
      </c>
      <c r="B24" s="25">
        <v>320</v>
      </c>
      <c r="C24" s="11" t="str">
        <f>VLOOKUP($B24,TAB,2,FALSE)</f>
        <v>Сунаргулов Руслан Раянович
Алеев Андрей Мухаметшаевич</v>
      </c>
      <c r="D24" s="11" t="str">
        <f>VLOOKUP($B24,TAB,4,FALSE)</f>
        <v>Челябинск
Челябинск</v>
      </c>
      <c r="E24" s="11" t="str">
        <f>VLOOKUP($B24,TAB,5,FALSE)</f>
        <v>Nissan Patrol</v>
      </c>
      <c r="F24" s="26">
        <f>VLOOKUP($B24,TAB,132,FALSE)</f>
        <v>460</v>
      </c>
      <c r="G24" s="27">
        <f>IF(F24="СХОД","СХОД",IF(A24=1,"**",$F$13-F24))</f>
        <v>902</v>
      </c>
      <c r="H24" s="27">
        <f>IF(F24="СХОД","СХОД",IF(A24=1,"**",F23-F24))</f>
        <v>102</v>
      </c>
    </row>
    <row r="25" spans="1:8" s="6" customFormat="1" ht="60" x14ac:dyDescent="0.25">
      <c r="A25" s="26">
        <f>VLOOKUP($B25,TAB,133,FALSE)</f>
        <v>13</v>
      </c>
      <c r="B25" s="25">
        <v>312</v>
      </c>
      <c r="C25" s="11" t="str">
        <f>VLOOKUP($B25,TAB,2,FALSE)</f>
        <v>Цветков Никита Александрович
Крякунов Антон Александрович</v>
      </c>
      <c r="D25" s="11" t="str">
        <f>VLOOKUP($B25,TAB,4,FALSE)</f>
        <v>Реж
Реж</v>
      </c>
      <c r="E25" s="11" t="str">
        <f>VLOOKUP($B25,TAB,5,FALSE)</f>
        <v>Нива 2123</v>
      </c>
      <c r="F25" s="26">
        <f>VLOOKUP($B25,TAB,132,FALSE)</f>
        <v>324</v>
      </c>
      <c r="G25" s="27">
        <f>IF(F25="СХОД","СХОД",IF(A25=1,"**",$F$13-F25))</f>
        <v>1038</v>
      </c>
      <c r="H25" s="27">
        <f>IF(F25="СХОД","СХОД",IF(A25=1,"**",F24-F25))</f>
        <v>136</v>
      </c>
    </row>
    <row r="26" spans="1:8" s="6" customFormat="1" ht="60" x14ac:dyDescent="0.25">
      <c r="A26" s="26">
        <f>VLOOKUP($B26,TAB,133,FALSE)</f>
        <v>14</v>
      </c>
      <c r="B26" s="25">
        <v>313</v>
      </c>
      <c r="C26" s="11" t="str">
        <f>VLOOKUP($B26,TAB,2,FALSE)</f>
        <v>Иванов Артем Викторович
Пшикун Михаил Андреевич</v>
      </c>
      <c r="D26" s="11" t="str">
        <f>VLOOKUP($B26,TAB,4,FALSE)</f>
        <v>Н. Тагил
Н. Тагил</v>
      </c>
      <c r="E26" s="11" t="str">
        <f>VLOOKUP($B26,TAB,5,FALSE)</f>
        <v>Нива 2121</v>
      </c>
      <c r="F26" s="26">
        <f>VLOOKUP($B26,TAB,132,FALSE)</f>
        <v>300</v>
      </c>
      <c r="G26" s="27">
        <f>IF(F26="СХОД","СХОД",IF(A26=1,"**",$F$13-F26))</f>
        <v>1062</v>
      </c>
      <c r="H26" s="27">
        <f>IF(F26="СХОД","СХОД",IF(A26=1,"**",F25-F26))</f>
        <v>24</v>
      </c>
    </row>
    <row r="27" spans="1:8" s="6" customFormat="1" ht="60" x14ac:dyDescent="0.25">
      <c r="A27" s="26">
        <f>VLOOKUP($B27,TAB,133,FALSE)</f>
        <v>15</v>
      </c>
      <c r="B27" s="25">
        <v>301</v>
      </c>
      <c r="C27" s="11" t="str">
        <f>VLOOKUP($B27,TAB,2,FALSE)</f>
        <v>Бобров Алексей Сергеевич
Соколов Андрей Андреевич</v>
      </c>
      <c r="D27" s="11" t="str">
        <f>VLOOKUP($B27,TAB,4,FALSE)</f>
        <v>Н. Тагил
Н. Тагил</v>
      </c>
      <c r="E27" s="11" t="str">
        <f>VLOOKUP($B27,TAB,5,FALSE)</f>
        <v>УАЗ 315195</v>
      </c>
      <c r="F27" s="26">
        <f>VLOOKUP($B27,TAB,132,FALSE)</f>
        <v>278</v>
      </c>
      <c r="G27" s="27">
        <f>IF(F27="СХОД","СХОД",IF(A27=1,"**",$F$13-F27))</f>
        <v>1084</v>
      </c>
      <c r="H27" s="27">
        <f>IF(F27="СХОД","СХОД",IF(A27=1,"**",F26-F27))</f>
        <v>22</v>
      </c>
    </row>
    <row r="28" spans="1:8" s="6" customFormat="1" ht="60" x14ac:dyDescent="0.25">
      <c r="A28" s="26">
        <f>VLOOKUP($B28,TAB,133,FALSE)</f>
        <v>16</v>
      </c>
      <c r="B28" s="25">
        <v>305</v>
      </c>
      <c r="C28" s="11" t="str">
        <f>VLOOKUP($B28,TAB,2,FALSE)</f>
        <v>Коркодинов Андрей Игоревич
Ибрагимов Рамиль Зуфарович</v>
      </c>
      <c r="D28" s="11" t="str">
        <f>VLOOKUP($B28,TAB,4,FALSE)</f>
        <v>Реж
Реж</v>
      </c>
      <c r="E28" s="11" t="str">
        <f>VLOOKUP($B28,TAB,5,FALSE)</f>
        <v>Нива 2121</v>
      </c>
      <c r="F28" s="26">
        <f>VLOOKUP($B28,TAB,132,FALSE)</f>
        <v>273</v>
      </c>
      <c r="G28" s="27">
        <f>IF(F28="СХОД","СХОД",IF(A28=1,"**",$F$13-F28))</f>
        <v>1089</v>
      </c>
      <c r="H28" s="27">
        <f>IF(F28="СХОД","СХОД",IF(A28=1,"**",F27-F28))</f>
        <v>5</v>
      </c>
    </row>
    <row r="29" spans="1:8" s="6" customFormat="1" ht="60" x14ac:dyDescent="0.25">
      <c r="A29" s="26">
        <f>VLOOKUP($B29,TAB,133,FALSE)</f>
        <v>17</v>
      </c>
      <c r="B29" s="25">
        <v>302</v>
      </c>
      <c r="C29" s="11" t="str">
        <f>VLOOKUP($B29,TAB,2,FALSE)</f>
        <v>Гончар Алексей Евгеньевич
Захаров Артем Олегович</v>
      </c>
      <c r="D29" s="11" t="str">
        <f>VLOOKUP($B29,TAB,4,FALSE)</f>
        <v>Копейск
Копейск</v>
      </c>
      <c r="E29" s="11" t="str">
        <f>VLOOKUP($B29,TAB,5,FALSE)</f>
        <v>Mitsubishi Pajero</v>
      </c>
      <c r="F29" s="26">
        <f>VLOOKUP($B29,TAB,132,FALSE)</f>
        <v>261</v>
      </c>
      <c r="G29" s="27">
        <f>IF(F29="СХОД","СХОД",IF(A29=1,"**",$F$13-F29))</f>
        <v>1101</v>
      </c>
      <c r="H29" s="27">
        <f>IF(F29="СХОД","СХОД",IF(A29=1,"**",F28-F29))</f>
        <v>12</v>
      </c>
    </row>
    <row r="30" spans="1:8" s="6" customFormat="1" ht="60" x14ac:dyDescent="0.25">
      <c r="A30" s="26">
        <f>VLOOKUP($B30,TAB,133,FALSE)</f>
        <v>18</v>
      </c>
      <c r="B30" s="25">
        <v>316</v>
      </c>
      <c r="C30" s="11" t="str">
        <f>VLOOKUP($B30,TAB,2,FALSE)</f>
        <v>Сумин Андрей Станиславович
Петров Сергей Александрович</v>
      </c>
      <c r="D30" s="11" t="str">
        <f>VLOOKUP($B30,TAB,4,FALSE)</f>
        <v>Челябинск
Челябинск</v>
      </c>
      <c r="E30" s="11" t="str">
        <f>VLOOKUP($B30,TAB,5,FALSE)</f>
        <v>ВАЗ 2121</v>
      </c>
      <c r="F30" s="26">
        <f>VLOOKUP($B30,TAB,132,FALSE)</f>
        <v>222</v>
      </c>
      <c r="G30" s="27">
        <f>IF(F30="СХОД","СХОД",IF(A30=1,"**",$F$13-F30))</f>
        <v>1140</v>
      </c>
      <c r="H30" s="27">
        <f>IF(F30="СХОД","СХОД",IF(A30=1,"**",F29-F30))</f>
        <v>39</v>
      </c>
    </row>
    <row r="31" spans="1:8" s="6" customFormat="1" ht="60" x14ac:dyDescent="0.25">
      <c r="A31" s="26">
        <f>VLOOKUP($B31,TAB,133,FALSE)</f>
        <v>19</v>
      </c>
      <c r="B31" s="25">
        <v>318</v>
      </c>
      <c r="C31" s="11" t="str">
        <f>VLOOKUP($B31,TAB,2,FALSE)</f>
        <v>Осокин Михаил Сергеевич
Осокин Александр Сергеевич</v>
      </c>
      <c r="D31" s="11" t="str">
        <f>VLOOKUP($B31,TAB,4,FALSE)</f>
        <v>п. Восточный
п. Восточный</v>
      </c>
      <c r="E31" s="11" t="str">
        <f>VLOOKUP($B31,TAB,5,FALSE)</f>
        <v>УАЗ Пикап</v>
      </c>
      <c r="F31" s="26">
        <f>VLOOKUP($B31,TAB,132,FALSE)</f>
        <v>140</v>
      </c>
      <c r="G31" s="27">
        <f>IF(F31="СХОД","СХОД",IF(A31=1,"**",$F$13-F31))</f>
        <v>1222</v>
      </c>
      <c r="H31" s="27">
        <f>IF(F31="СХОД","СХОД",IF(A31=1,"**",F30-F31))</f>
        <v>82</v>
      </c>
    </row>
    <row r="32" spans="1:8" s="6" customFormat="1" ht="60" x14ac:dyDescent="0.25">
      <c r="A32" s="26">
        <f>VLOOKUP($B32,TAB,133,FALSE)</f>
        <v>20</v>
      </c>
      <c r="B32" s="25">
        <v>309</v>
      </c>
      <c r="C32" s="11" t="str">
        <f>VLOOKUP($B32,TAB,2,FALSE)</f>
        <v>Павлов Алексей Сергеевич
Чернов Анатолий Михайлович</v>
      </c>
      <c r="D32" s="11" t="str">
        <f>VLOOKUP($B32,TAB,4,FALSE)</f>
        <v>Юргамыш
Юргамыш</v>
      </c>
      <c r="E32" s="11" t="str">
        <f>VLOOKUP($B32,TAB,5,FALSE)</f>
        <v>УАЗ 469</v>
      </c>
      <c r="F32" s="26">
        <f>VLOOKUP($B32,TAB,132,FALSE)</f>
        <v>103</v>
      </c>
      <c r="G32" s="27">
        <f>IF(F32="СХОД","СХОД",IF(A32=1,"**",$F$13-F32))</f>
        <v>1259</v>
      </c>
      <c r="H32" s="27">
        <f>IF(F32="СХОД","СХОД",IF(A32=1,"**",F31-F32))</f>
        <v>37</v>
      </c>
    </row>
    <row r="33" spans="1:16" s="6" customFormat="1" ht="60" x14ac:dyDescent="0.25">
      <c r="A33" s="26">
        <f>VLOOKUP($B33,TAB,133,FALSE)</f>
        <v>21</v>
      </c>
      <c r="B33" s="25">
        <v>304</v>
      </c>
      <c r="C33" s="11" t="str">
        <f>VLOOKUP($B33,TAB,2,FALSE)</f>
        <v>Извеков Вадим Васильевич
Просеков Алексей Федорович</v>
      </c>
      <c r="D33" s="11" t="str">
        <f>VLOOKUP($B33,TAB,4,FALSE)</f>
        <v>Юргамыш
Юргамыш</v>
      </c>
      <c r="E33" s="11" t="str">
        <f>VLOOKUP($B33,TAB,5,FALSE)</f>
        <v>УАЗ 31514</v>
      </c>
      <c r="F33" s="26">
        <f>VLOOKUP($B33,TAB,132,FALSE)</f>
        <v>40</v>
      </c>
      <c r="G33" s="27">
        <f>IF(F33="СХОД","СХОД",IF(A33=1,"**",$F$13-F33))</f>
        <v>1322</v>
      </c>
      <c r="H33" s="27">
        <f>IF(F33="СХОД","СХОД",IF(A33=1,"**",F32-F33))</f>
        <v>63</v>
      </c>
    </row>
    <row r="34" spans="1:16" s="36" customFormat="1" x14ac:dyDescent="0.25">
      <c r="A34" s="32"/>
      <c r="B34" s="33"/>
      <c r="C34" s="33"/>
      <c r="D34" s="33"/>
      <c r="E34" s="34"/>
      <c r="F34" s="35"/>
      <c r="G34" s="35"/>
      <c r="H34" s="35"/>
      <c r="I34" s="34"/>
      <c r="J34" s="35"/>
      <c r="K34" s="35"/>
      <c r="L34" s="35"/>
      <c r="M34" s="34"/>
      <c r="N34" s="35"/>
      <c r="O34" s="35"/>
      <c r="P34" s="35"/>
    </row>
    <row r="35" spans="1:16" s="41" customFormat="1" x14ac:dyDescent="0.25">
      <c r="A35" s="38"/>
      <c r="B35" s="37" t="s">
        <v>357</v>
      </c>
      <c r="C35" s="37"/>
      <c r="D35" s="37"/>
      <c r="E35" s="37" t="s">
        <v>358</v>
      </c>
      <c r="F35" s="40"/>
      <c r="G35" s="40"/>
      <c r="H35" s="40"/>
      <c r="I35" s="39"/>
      <c r="J35" s="40"/>
      <c r="L35" s="40"/>
      <c r="M35" s="39"/>
      <c r="N35" s="40"/>
      <c r="O35" s="40"/>
      <c r="P35" s="40"/>
    </row>
  </sheetData>
  <sortState ref="A13:H33">
    <sortCondition ref="A13:A33"/>
  </sortState>
  <mergeCells count="16">
    <mergeCell ref="A6:H6"/>
    <mergeCell ref="A1:H1"/>
    <mergeCell ref="A2:H2"/>
    <mergeCell ref="A3:H3"/>
    <mergeCell ref="A4:H4"/>
    <mergeCell ref="A5:H5"/>
    <mergeCell ref="G11:H11"/>
    <mergeCell ref="A7:H7"/>
    <mergeCell ref="A8:C8"/>
    <mergeCell ref="A9:H9"/>
    <mergeCell ref="A11:A12"/>
    <mergeCell ref="B11:B12"/>
    <mergeCell ref="C11:C12"/>
    <mergeCell ref="D11:D12"/>
    <mergeCell ref="E11:E12"/>
    <mergeCell ref="F11:F12"/>
  </mergeCells>
  <printOptions horizontalCentered="1"/>
  <pageMargins left="0.31496062992125984" right="0.31496062992125984" top="0.74803149606299213" bottom="0.35433070866141736" header="0.31496062992125984" footer="0.31496062992125984"/>
  <pageSetup paperSize="9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112"/>
  <sheetViews>
    <sheetView topLeftCell="A4" zoomScaleNormal="100" workbookViewId="0">
      <selection activeCell="AA13" sqref="AA13"/>
    </sheetView>
  </sheetViews>
  <sheetFormatPr defaultRowHeight="15" x14ac:dyDescent="0.25"/>
  <cols>
    <col min="1" max="1" width="5.28515625" style="63" customWidth="1"/>
    <col min="2" max="2" width="23.28515625" style="63" customWidth="1"/>
    <col min="3" max="3" width="19.7109375" style="63" customWidth="1"/>
    <col min="4" max="4" width="12.28515625" style="63" customWidth="1"/>
    <col min="5" max="5" width="7.140625" style="63" customWidth="1"/>
    <col min="6" max="8" width="6.28515625" style="63" customWidth="1"/>
    <col min="9" max="9" width="7.140625" style="63" hidden="1" customWidth="1"/>
    <col min="10" max="12" width="6.28515625" style="63" hidden="1" customWidth="1"/>
    <col min="13" max="13" width="7.140625" style="63" hidden="1" customWidth="1"/>
    <col min="14" max="16" width="6.28515625" style="63" hidden="1" customWidth="1"/>
    <col min="17" max="17" width="5.7109375" style="63" hidden="1" customWidth="1"/>
    <col min="18" max="18" width="23.28515625" style="63" hidden="1" customWidth="1"/>
    <col min="19" max="19" width="19.7109375" style="63" hidden="1" customWidth="1"/>
    <col min="20" max="20" width="12.28515625" style="63" hidden="1" customWidth="1"/>
    <col min="21" max="21" width="7.140625" style="63" hidden="1" customWidth="1"/>
    <col min="22" max="24" width="6.28515625" style="63" hidden="1" customWidth="1"/>
    <col min="25" max="25" width="7.140625" style="63" bestFit="1" customWidth="1"/>
    <col min="26" max="28" width="6.28515625" style="63" customWidth="1"/>
    <col min="29" max="29" width="7.140625" style="63" bestFit="1" customWidth="1"/>
    <col min="30" max="32" width="6.28515625" style="63" customWidth="1"/>
    <col min="33" max="33" width="6.28515625" style="63" hidden="1" customWidth="1"/>
    <col min="34" max="34" width="23.28515625" style="63" hidden="1" customWidth="1"/>
    <col min="35" max="35" width="19.7109375" style="63" hidden="1" customWidth="1"/>
    <col min="36" max="36" width="12.28515625" style="63" hidden="1" customWidth="1"/>
    <col min="37" max="37" width="7.140625" style="63" bestFit="1" customWidth="1"/>
    <col min="38" max="38" width="6.28515625" style="63" customWidth="1"/>
    <col min="39" max="39" width="6.28515625" style="63" bestFit="1" customWidth="1"/>
    <col min="40" max="40" width="6.28515625" style="63" customWidth="1"/>
    <col min="41" max="41" width="7.140625" style="63" bestFit="1" customWidth="1"/>
    <col min="42" max="44" width="6.28515625" style="63" customWidth="1"/>
    <col min="45" max="45" width="7.140625" style="63" bestFit="1" customWidth="1"/>
    <col min="46" max="48" width="6.28515625" style="63" customWidth="1"/>
    <col min="49" max="49" width="5.5703125" style="63" hidden="1" customWidth="1"/>
    <col min="50" max="50" width="23.28515625" style="63" hidden="1" customWidth="1"/>
    <col min="51" max="51" width="19.7109375" style="63" hidden="1" customWidth="1"/>
    <col min="52" max="52" width="12.28515625" style="63" hidden="1" customWidth="1"/>
    <col min="53" max="53" width="7.140625" style="63" bestFit="1" customWidth="1"/>
    <col min="54" max="54" width="6.28515625" style="63" customWidth="1"/>
    <col min="55" max="55" width="6.28515625" style="63" bestFit="1" customWidth="1"/>
    <col min="56" max="56" width="6.28515625" style="63" customWidth="1"/>
    <col min="57" max="57" width="7.140625" style="63" bestFit="1" customWidth="1"/>
    <col min="58" max="60" width="6.28515625" style="63" customWidth="1"/>
    <col min="61" max="61" width="7.140625" style="63" bestFit="1" customWidth="1"/>
    <col min="62" max="64" width="6.28515625" style="63" customWidth="1"/>
    <col min="65" max="65" width="5.5703125" style="63" hidden="1" customWidth="1"/>
    <col min="66" max="66" width="23.28515625" style="63" hidden="1" customWidth="1"/>
    <col min="67" max="67" width="19.7109375" style="63" hidden="1" customWidth="1"/>
    <col min="68" max="68" width="12.28515625" style="63" hidden="1" customWidth="1"/>
    <col min="69" max="69" width="7.140625" style="63" bestFit="1" customWidth="1"/>
    <col min="70" max="70" width="6.28515625" style="63" customWidth="1"/>
    <col min="71" max="71" width="6.28515625" style="63" bestFit="1" customWidth="1"/>
    <col min="72" max="72" width="6.28515625" style="63" customWidth="1"/>
    <col min="73" max="73" width="7.140625" style="63" bestFit="1" customWidth="1"/>
    <col min="74" max="76" width="6.28515625" style="63" customWidth="1"/>
    <col min="77" max="77" width="7.140625" style="63" bestFit="1" customWidth="1"/>
    <col min="78" max="80" width="6.28515625" style="63" customWidth="1"/>
    <col min="81" max="81" width="5.7109375" style="63" hidden="1" customWidth="1"/>
    <col min="82" max="82" width="23.28515625" style="63" hidden="1" customWidth="1"/>
    <col min="83" max="83" width="19.7109375" style="63" hidden="1" customWidth="1"/>
    <col min="84" max="84" width="12.28515625" style="63" hidden="1" customWidth="1"/>
    <col min="85" max="85" width="7.140625" style="63" bestFit="1" customWidth="1"/>
    <col min="86" max="86" width="6.28515625" style="63" customWidth="1"/>
    <col min="87" max="87" width="6.28515625" style="63" bestFit="1" customWidth="1"/>
    <col min="88" max="88" width="6.28515625" style="63" customWidth="1"/>
    <col min="89" max="89" width="7.140625" style="63" bestFit="1" customWidth="1"/>
    <col min="90" max="92" width="6.28515625" style="63" customWidth="1"/>
    <col min="93" max="93" width="7.140625" style="63" bestFit="1" customWidth="1"/>
    <col min="94" max="96" width="6.28515625" style="63" customWidth="1"/>
    <col min="97" max="97" width="13.85546875" style="63" bestFit="1" customWidth="1"/>
    <col min="98" max="16384" width="9.140625" style="63"/>
  </cols>
  <sheetData>
    <row r="1" spans="1:97" x14ac:dyDescent="0.25">
      <c r="A1" s="60" t="str">
        <f>Данные!B66</f>
        <v>Российская автомобильная федерация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79" t="str">
        <f>Данные!B66</f>
        <v>Российская автомобильная федерация</v>
      </c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 t="str">
        <f>Данные!B66</f>
        <v>Российская автомобильная федерация</v>
      </c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 t="str">
        <f>Данные!B66</f>
        <v>Российская автомобильная федерация</v>
      </c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 t="str">
        <f>Данные!B66</f>
        <v>Российская автомобильная федерация</v>
      </c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  <c r="CC1" s="79" t="str">
        <f>Данные!B66</f>
        <v>Российская автомобильная федерация</v>
      </c>
      <c r="CD1" s="79"/>
      <c r="CE1" s="79"/>
      <c r="CF1" s="79"/>
      <c r="CG1" s="79"/>
      <c r="CH1" s="79"/>
      <c r="CI1" s="79"/>
      <c r="CJ1" s="79"/>
      <c r="CK1" s="79"/>
      <c r="CL1" s="79"/>
      <c r="CM1" s="79"/>
      <c r="CN1" s="79"/>
      <c r="CO1" s="79"/>
      <c r="CP1" s="79"/>
      <c r="CQ1" s="79"/>
      <c r="CR1" s="79"/>
    </row>
    <row r="2" spans="1:97" x14ac:dyDescent="0.25">
      <c r="A2" s="79" t="str">
        <f>Данные!B67</f>
        <v>ФАС Челябинской области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 t="str">
        <f>Данные!B67</f>
        <v>ФАС Челябинской области</v>
      </c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 t="str">
        <f>Данные!B67</f>
        <v>ФАС Челябинской области</v>
      </c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 t="str">
        <f>Данные!B67</f>
        <v>ФАС Челябинской области</v>
      </c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 t="str">
        <f>Данные!B67</f>
        <v>ФАС Челябинской области</v>
      </c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 t="str">
        <f>Данные!B67</f>
        <v>ФАС Челябинской области</v>
      </c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</row>
    <row r="3" spans="1:97" x14ac:dyDescent="0.25">
      <c r="A3" s="79" t="str">
        <f>Данные!B68</f>
        <v xml:space="preserve">Команда  Red Off-road Expedition 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 t="str">
        <f>Данные!B68</f>
        <v xml:space="preserve">Команда  Red Off-road Expedition </v>
      </c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 t="str">
        <f>Данные!B68</f>
        <v xml:space="preserve">Команда  Red Off-road Expedition </v>
      </c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 t="str">
        <f>Данные!B68</f>
        <v xml:space="preserve">Команда  Red Off-road Expedition </v>
      </c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 t="str">
        <f>Данные!B68</f>
        <v xml:space="preserve">Команда  Red Off-road Expedition </v>
      </c>
      <c r="BN3" s="79"/>
      <c r="BO3" s="79"/>
      <c r="BP3" s="79"/>
      <c r="BQ3" s="79"/>
      <c r="BR3" s="79"/>
      <c r="BS3" s="79"/>
      <c r="BT3" s="79"/>
      <c r="BU3" s="79"/>
      <c r="BV3" s="79"/>
      <c r="BW3" s="79"/>
      <c r="BX3" s="79"/>
      <c r="BY3" s="79"/>
      <c r="BZ3" s="79"/>
      <c r="CA3" s="79"/>
      <c r="CB3" s="79"/>
      <c r="CC3" s="79" t="str">
        <f>Данные!B68</f>
        <v xml:space="preserve">Команда  Red Off-road Expedition </v>
      </c>
      <c r="CD3" s="79"/>
      <c r="CE3" s="79"/>
      <c r="CF3" s="79"/>
      <c r="CG3" s="79"/>
      <c r="CH3" s="79"/>
      <c r="CI3" s="79"/>
      <c r="CJ3" s="79"/>
      <c r="CK3" s="79"/>
      <c r="CL3" s="79"/>
      <c r="CM3" s="79"/>
      <c r="CN3" s="79"/>
      <c r="CO3" s="79"/>
      <c r="CP3" s="79"/>
      <c r="CQ3" s="79"/>
      <c r="CR3" s="79"/>
    </row>
    <row r="4" spans="1:97" x14ac:dyDescent="0.25">
      <c r="A4" s="79" t="str">
        <f>Данные!B69</f>
        <v>ООО «Внедорожный центр 4х4»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 t="str">
        <f>Данные!B69</f>
        <v>ООО «Внедорожный центр 4х4»</v>
      </c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 t="str">
        <f>Данные!B69</f>
        <v>ООО «Внедорожный центр 4х4»</v>
      </c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 t="str">
        <f>Данные!B69</f>
        <v>ООО «Внедорожный центр 4х4»</v>
      </c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 t="str">
        <f>Данные!B69</f>
        <v>ООО «Внедорожный центр 4х4»</v>
      </c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 t="str">
        <f>Данные!B69</f>
        <v>ООО «Внедорожный центр 4х4»</v>
      </c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</row>
    <row r="5" spans="1:97" x14ac:dyDescent="0.25">
      <c r="A5" s="79" t="str">
        <f>Данные!B70</f>
        <v>Команда Pro-X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 t="str">
        <f>Данные!B70</f>
        <v>Команда Pro-X</v>
      </c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 t="str">
        <f>Данные!B70</f>
        <v>Команда Pro-X</v>
      </c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 t="str">
        <f>Данные!B70</f>
        <v>Команда Pro-X</v>
      </c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 t="str">
        <f>Данные!B70</f>
        <v>Команда Pro-X</v>
      </c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 t="str">
        <f>Данные!B70</f>
        <v>Команда Pro-X</v>
      </c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</row>
    <row r="6" spans="1:97" x14ac:dyDescent="0.25">
      <c r="A6" s="79" t="str">
        <f>Данные!B71</f>
        <v>Этап кубка Урало-Сибирской зоны по трофи-рейдам</v>
      </c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 t="str">
        <f>Данные!B71</f>
        <v>Этап кубка Урало-Сибирской зоны по трофи-рейдам</v>
      </c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 t="str">
        <f>Данные!B71</f>
        <v>Этап кубка Урало-Сибирской зоны по трофи-рейдам</v>
      </c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 t="str">
        <f>Данные!B71</f>
        <v>Этап кубка Урало-Сибирской зоны по трофи-рейдам</v>
      </c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  <c r="BM6" s="79" t="str">
        <f>Данные!B71</f>
        <v>Этап кубка Урало-Сибирской зоны по трофи-рейдам</v>
      </c>
      <c r="BN6" s="79"/>
      <c r="BO6" s="79"/>
      <c r="BP6" s="79"/>
      <c r="BQ6" s="79"/>
      <c r="BR6" s="79"/>
      <c r="BS6" s="79"/>
      <c r="BT6" s="79"/>
      <c r="BU6" s="79"/>
      <c r="BV6" s="79"/>
      <c r="BW6" s="79"/>
      <c r="BX6" s="79"/>
      <c r="BY6" s="79"/>
      <c r="BZ6" s="79"/>
      <c r="CA6" s="79"/>
      <c r="CB6" s="79"/>
      <c r="CC6" s="79" t="str">
        <f>Данные!B71</f>
        <v>Этап кубка Урало-Сибирской зоны по трофи-рейдам</v>
      </c>
      <c r="CD6" s="79"/>
      <c r="CE6" s="79"/>
      <c r="CF6" s="79"/>
      <c r="CG6" s="79"/>
      <c r="CH6" s="79"/>
      <c r="CI6" s="79"/>
      <c r="CJ6" s="79"/>
      <c r="CK6" s="79"/>
      <c r="CL6" s="79"/>
      <c r="CM6" s="79"/>
      <c r="CN6" s="79"/>
      <c r="CO6" s="79"/>
      <c r="CP6" s="79"/>
      <c r="CQ6" s="79"/>
      <c r="CR6" s="79"/>
    </row>
    <row r="7" spans="1:97" x14ac:dyDescent="0.25">
      <c r="A7" s="79" t="str">
        <f>Данные!B72</f>
        <v>г.Челябинск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 t="str">
        <f>Данные!B72</f>
        <v>г.Челябинск</v>
      </c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 t="str">
        <f>Данные!B72</f>
        <v>г.Челябинск</v>
      </c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 t="str">
        <f>Данные!B72</f>
        <v>г.Челябинск</v>
      </c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 t="str">
        <f>Данные!B72</f>
        <v>г.Челябинск</v>
      </c>
      <c r="BN7" s="79"/>
      <c r="BO7" s="79"/>
      <c r="BP7" s="79"/>
      <c r="BQ7" s="79"/>
      <c r="BR7" s="79"/>
      <c r="BS7" s="79"/>
      <c r="BT7" s="79"/>
      <c r="BU7" s="79"/>
      <c r="BV7" s="79"/>
      <c r="BW7" s="79"/>
      <c r="BX7" s="79"/>
      <c r="BY7" s="79"/>
      <c r="BZ7" s="79"/>
      <c r="CA7" s="79"/>
      <c r="CB7" s="79"/>
      <c r="CC7" s="79" t="str">
        <f>Данные!B72</f>
        <v>г.Челябинск</v>
      </c>
      <c r="CD7" s="79"/>
      <c r="CE7" s="79"/>
      <c r="CF7" s="79"/>
      <c r="CG7" s="79"/>
      <c r="CH7" s="79"/>
      <c r="CI7" s="79"/>
      <c r="CJ7" s="79"/>
      <c r="CK7" s="79"/>
      <c r="CL7" s="79"/>
      <c r="CM7" s="79"/>
      <c r="CN7" s="79"/>
      <c r="CO7" s="79"/>
      <c r="CP7" s="79"/>
      <c r="CQ7" s="79"/>
      <c r="CR7" s="79"/>
    </row>
    <row r="8" spans="1:97" x14ac:dyDescent="0.25">
      <c r="A8" s="80">
        <f>Данные!B73</f>
        <v>43358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>
        <f>Данные!B73</f>
        <v>43358</v>
      </c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>
        <f>Данные!B73</f>
        <v>43358</v>
      </c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>
        <f>Данные!B73</f>
        <v>43358</v>
      </c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>
        <f>Данные!B73</f>
        <v>43358</v>
      </c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>
        <f>Данные!B73</f>
        <v>43358</v>
      </c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</row>
    <row r="9" spans="1:97" s="19" customFormat="1" x14ac:dyDescent="0.25">
      <c r="A9" s="81" t="s">
        <v>200</v>
      </c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 t="s">
        <v>200</v>
      </c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 t="s">
        <v>200</v>
      </c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 t="s">
        <v>200</v>
      </c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 t="s">
        <v>200</v>
      </c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 t="s">
        <v>200</v>
      </c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</row>
    <row r="10" spans="1:97" s="19" customFormat="1" x14ac:dyDescent="0.25">
      <c r="A10" s="97" t="s">
        <v>212</v>
      </c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 t="s">
        <v>212</v>
      </c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 t="s">
        <v>212</v>
      </c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 t="s">
        <v>212</v>
      </c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 t="s">
        <v>212</v>
      </c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 t="s">
        <v>212</v>
      </c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</row>
    <row r="11" spans="1:97" s="29" customFormat="1" ht="15" customHeight="1" x14ac:dyDescent="0.25">
      <c r="A11" s="82" t="s">
        <v>111</v>
      </c>
      <c r="B11" s="82" t="s">
        <v>1</v>
      </c>
      <c r="C11" s="82" t="s">
        <v>3</v>
      </c>
      <c r="D11" s="83" t="s">
        <v>4</v>
      </c>
      <c r="E11" s="43" t="s">
        <v>223</v>
      </c>
      <c r="F11" s="95" t="str">
        <f>VLOOKUP(E11,SU,2,FALSE)</f>
        <v>Кольцевая гонка</v>
      </c>
      <c r="G11" s="95"/>
      <c r="H11" s="96"/>
      <c r="I11" s="64"/>
      <c r="J11" s="98"/>
      <c r="K11" s="98"/>
      <c r="L11" s="98"/>
      <c r="M11" s="65"/>
      <c r="N11" s="98"/>
      <c r="O11" s="98"/>
      <c r="P11" s="98"/>
      <c r="Q11" s="82" t="s">
        <v>111</v>
      </c>
      <c r="R11" s="82" t="s">
        <v>1</v>
      </c>
      <c r="S11" s="82" t="s">
        <v>3</v>
      </c>
      <c r="T11" s="83" t="s">
        <v>4</v>
      </c>
      <c r="U11" s="43" t="s">
        <v>171</v>
      </c>
      <c r="V11" s="95" t="str">
        <f>VLOOKUP(U11,SU,2,FALSE)</f>
        <v>СУ-1</v>
      </c>
      <c r="W11" s="95"/>
      <c r="X11" s="96"/>
      <c r="Y11" s="43" t="s">
        <v>172</v>
      </c>
      <c r="Z11" s="95" t="str">
        <f>VLOOKUP(Y11,SU,2,FALSE)</f>
        <v>СУ-2</v>
      </c>
      <c r="AA11" s="95"/>
      <c r="AB11" s="96"/>
      <c r="AC11" s="43" t="s">
        <v>173</v>
      </c>
      <c r="AD11" s="95" t="str">
        <f>VLOOKUP(AC11,SU,2,FALSE)</f>
        <v>СУ-3</v>
      </c>
      <c r="AE11" s="95"/>
      <c r="AF11" s="96"/>
      <c r="AG11" s="82" t="s">
        <v>111</v>
      </c>
      <c r="AH11" s="82" t="s">
        <v>1</v>
      </c>
      <c r="AI11" s="82" t="s">
        <v>3</v>
      </c>
      <c r="AJ11" s="83" t="s">
        <v>4</v>
      </c>
      <c r="AK11" s="43" t="s">
        <v>174</v>
      </c>
      <c r="AL11" s="95" t="str">
        <f>VLOOKUP(AK11,SU,2,FALSE)</f>
        <v>СУ-4</v>
      </c>
      <c r="AM11" s="95"/>
      <c r="AN11" s="96"/>
      <c r="AO11" s="43" t="s">
        <v>175</v>
      </c>
      <c r="AP11" s="95" t="str">
        <f>VLOOKUP(AO11,SU,2,FALSE)</f>
        <v>СУ-5</v>
      </c>
      <c r="AQ11" s="95"/>
      <c r="AR11" s="96"/>
      <c r="AS11" s="43" t="s">
        <v>176</v>
      </c>
      <c r="AT11" s="95" t="str">
        <f>VLOOKUP(AS11,SU,2,FALSE)</f>
        <v>СУ-6</v>
      </c>
      <c r="AU11" s="95"/>
      <c r="AV11" s="96"/>
      <c r="AW11" s="82" t="s">
        <v>111</v>
      </c>
      <c r="AX11" s="82" t="s">
        <v>1</v>
      </c>
      <c r="AY11" s="82" t="s">
        <v>3</v>
      </c>
      <c r="AZ11" s="83" t="s">
        <v>4</v>
      </c>
      <c r="BA11" s="43" t="s">
        <v>177</v>
      </c>
      <c r="BB11" s="95" t="str">
        <f>VLOOKUP(BA11,SU,2,FALSE)</f>
        <v>СУ-7</v>
      </c>
      <c r="BC11" s="95"/>
      <c r="BD11" s="96"/>
      <c r="BE11" s="43" t="s">
        <v>178</v>
      </c>
      <c r="BF11" s="95" t="str">
        <f>VLOOKUP(BE11,SU,2,FALSE)</f>
        <v>СУ-8</v>
      </c>
      <c r="BG11" s="95"/>
      <c r="BH11" s="96"/>
      <c r="BI11" s="43" t="s">
        <v>179</v>
      </c>
      <c r="BJ11" s="95" t="str">
        <f>VLOOKUP(BI11,SU,2,FALSE)</f>
        <v>СУ-9</v>
      </c>
      <c r="BK11" s="95"/>
      <c r="BL11" s="96"/>
      <c r="BM11" s="82" t="s">
        <v>111</v>
      </c>
      <c r="BN11" s="82" t="s">
        <v>1</v>
      </c>
      <c r="BO11" s="82" t="s">
        <v>3</v>
      </c>
      <c r="BP11" s="83" t="s">
        <v>4</v>
      </c>
      <c r="BQ11" s="43" t="s">
        <v>180</v>
      </c>
      <c r="BR11" s="95" t="str">
        <f>VLOOKUP(BQ11,SU,2,FALSE)</f>
        <v>СУ-10</v>
      </c>
      <c r="BS11" s="95"/>
      <c r="BT11" s="96"/>
      <c r="BU11" s="43" t="s">
        <v>181</v>
      </c>
      <c r="BV11" s="95" t="str">
        <f>VLOOKUP(BU11,SU,2,FALSE)</f>
        <v>СУ-11</v>
      </c>
      <c r="BW11" s="95"/>
      <c r="BX11" s="96"/>
      <c r="BY11" s="43" t="s">
        <v>182</v>
      </c>
      <c r="BZ11" s="95" t="str">
        <f>VLOOKUP(BY11,SU,2,FALSE)</f>
        <v>СУ-12</v>
      </c>
      <c r="CA11" s="95"/>
      <c r="CB11" s="96"/>
      <c r="CC11" s="82" t="s">
        <v>111</v>
      </c>
      <c r="CD11" s="82" t="s">
        <v>1</v>
      </c>
      <c r="CE11" s="82" t="s">
        <v>3</v>
      </c>
      <c r="CF11" s="83" t="s">
        <v>4</v>
      </c>
      <c r="CG11" s="43" t="s">
        <v>183</v>
      </c>
      <c r="CH11" s="95" t="str">
        <f>VLOOKUP(CG11,SU,2,FALSE)</f>
        <v>СУ-13</v>
      </c>
      <c r="CI11" s="95"/>
      <c r="CJ11" s="96"/>
      <c r="CK11" s="43" t="s">
        <v>184</v>
      </c>
      <c r="CL11" s="95" t="str">
        <f>VLOOKUP(CK11,SU,2,FALSE)</f>
        <v>СУ-14</v>
      </c>
      <c r="CM11" s="95"/>
      <c r="CN11" s="96"/>
      <c r="CO11" s="43" t="s">
        <v>185</v>
      </c>
      <c r="CP11" s="95" t="str">
        <f>VLOOKUP(CO11,SU,2,FALSE)</f>
        <v>СУ-15</v>
      </c>
      <c r="CQ11" s="95"/>
      <c r="CR11" s="96"/>
      <c r="CS11" s="77"/>
    </row>
    <row r="12" spans="1:97" s="29" customFormat="1" ht="25.5" x14ac:dyDescent="0.25">
      <c r="A12" s="82"/>
      <c r="B12" s="82"/>
      <c r="C12" s="82"/>
      <c r="D12" s="83"/>
      <c r="E12" s="62" t="s">
        <v>112</v>
      </c>
      <c r="F12" s="61" t="s">
        <v>152</v>
      </c>
      <c r="G12" s="62" t="s">
        <v>113</v>
      </c>
      <c r="H12" s="62" t="s">
        <v>114</v>
      </c>
      <c r="I12" s="66"/>
      <c r="J12" s="67"/>
      <c r="K12" s="68"/>
      <c r="L12" s="68"/>
      <c r="M12" s="68"/>
      <c r="N12" s="67"/>
      <c r="O12" s="68"/>
      <c r="P12" s="68"/>
      <c r="Q12" s="82"/>
      <c r="R12" s="82"/>
      <c r="S12" s="82"/>
      <c r="T12" s="83"/>
      <c r="U12" s="62" t="s">
        <v>112</v>
      </c>
      <c r="V12" s="61" t="s">
        <v>152</v>
      </c>
      <c r="W12" s="62" t="s">
        <v>113</v>
      </c>
      <c r="X12" s="62" t="s">
        <v>114</v>
      </c>
      <c r="Y12" s="62" t="s">
        <v>112</v>
      </c>
      <c r="Z12" s="61" t="s">
        <v>152</v>
      </c>
      <c r="AA12" s="62" t="s">
        <v>113</v>
      </c>
      <c r="AB12" s="62" t="s">
        <v>114</v>
      </c>
      <c r="AC12" s="62" t="s">
        <v>112</v>
      </c>
      <c r="AD12" s="61" t="s">
        <v>152</v>
      </c>
      <c r="AE12" s="62" t="s">
        <v>113</v>
      </c>
      <c r="AF12" s="62" t="s">
        <v>114</v>
      </c>
      <c r="AG12" s="82"/>
      <c r="AH12" s="82"/>
      <c r="AI12" s="82"/>
      <c r="AJ12" s="83"/>
      <c r="AK12" s="62" t="s">
        <v>112</v>
      </c>
      <c r="AL12" s="61" t="s">
        <v>152</v>
      </c>
      <c r="AM12" s="62" t="s">
        <v>113</v>
      </c>
      <c r="AN12" s="62" t="s">
        <v>114</v>
      </c>
      <c r="AO12" s="62" t="s">
        <v>112</v>
      </c>
      <c r="AP12" s="61" t="s">
        <v>152</v>
      </c>
      <c r="AQ12" s="62" t="s">
        <v>113</v>
      </c>
      <c r="AR12" s="62" t="s">
        <v>114</v>
      </c>
      <c r="AS12" s="62" t="s">
        <v>112</v>
      </c>
      <c r="AT12" s="61" t="s">
        <v>152</v>
      </c>
      <c r="AU12" s="62" t="s">
        <v>113</v>
      </c>
      <c r="AV12" s="62" t="s">
        <v>114</v>
      </c>
      <c r="AW12" s="82"/>
      <c r="AX12" s="82"/>
      <c r="AY12" s="82"/>
      <c r="AZ12" s="83"/>
      <c r="BA12" s="62" t="s">
        <v>112</v>
      </c>
      <c r="BB12" s="61" t="s">
        <v>152</v>
      </c>
      <c r="BC12" s="62" t="s">
        <v>113</v>
      </c>
      <c r="BD12" s="62" t="s">
        <v>114</v>
      </c>
      <c r="BE12" s="62" t="s">
        <v>112</v>
      </c>
      <c r="BF12" s="61" t="s">
        <v>152</v>
      </c>
      <c r="BG12" s="62" t="s">
        <v>113</v>
      </c>
      <c r="BH12" s="62" t="s">
        <v>114</v>
      </c>
      <c r="BI12" s="62" t="s">
        <v>112</v>
      </c>
      <c r="BJ12" s="61" t="s">
        <v>152</v>
      </c>
      <c r="BK12" s="62" t="s">
        <v>113</v>
      </c>
      <c r="BL12" s="62" t="s">
        <v>114</v>
      </c>
      <c r="BM12" s="82"/>
      <c r="BN12" s="82"/>
      <c r="BO12" s="82"/>
      <c r="BP12" s="83"/>
      <c r="BQ12" s="62" t="s">
        <v>112</v>
      </c>
      <c r="BR12" s="61" t="s">
        <v>152</v>
      </c>
      <c r="BS12" s="62" t="s">
        <v>113</v>
      </c>
      <c r="BT12" s="62" t="s">
        <v>114</v>
      </c>
      <c r="BU12" s="62" t="s">
        <v>112</v>
      </c>
      <c r="BV12" s="61" t="s">
        <v>152</v>
      </c>
      <c r="BW12" s="62" t="s">
        <v>113</v>
      </c>
      <c r="BX12" s="62" t="s">
        <v>114</v>
      </c>
      <c r="BY12" s="62" t="s">
        <v>112</v>
      </c>
      <c r="BZ12" s="61" t="s">
        <v>152</v>
      </c>
      <c r="CA12" s="62" t="s">
        <v>113</v>
      </c>
      <c r="CB12" s="62" t="s">
        <v>114</v>
      </c>
      <c r="CC12" s="82"/>
      <c r="CD12" s="82"/>
      <c r="CE12" s="82"/>
      <c r="CF12" s="83"/>
      <c r="CG12" s="62" t="s">
        <v>112</v>
      </c>
      <c r="CH12" s="61" t="s">
        <v>152</v>
      </c>
      <c r="CI12" s="62" t="s">
        <v>113</v>
      </c>
      <c r="CJ12" s="62" t="s">
        <v>114</v>
      </c>
      <c r="CK12" s="62" t="s">
        <v>112</v>
      </c>
      <c r="CL12" s="61" t="s">
        <v>152</v>
      </c>
      <c r="CM12" s="62" t="s">
        <v>113</v>
      </c>
      <c r="CN12" s="62" t="s">
        <v>114</v>
      </c>
      <c r="CO12" s="62" t="s">
        <v>112</v>
      </c>
      <c r="CP12" s="61" t="s">
        <v>152</v>
      </c>
      <c r="CQ12" s="62" t="s">
        <v>113</v>
      </c>
      <c r="CR12" s="62" t="s">
        <v>114</v>
      </c>
      <c r="CS12" s="77" t="s">
        <v>360</v>
      </c>
    </row>
    <row r="13" spans="1:97" s="6" customFormat="1" ht="60" x14ac:dyDescent="0.25">
      <c r="A13" s="25">
        <v>400</v>
      </c>
      <c r="B13" s="11" t="str">
        <f>VLOOKUP($A13,TAB,2,FALSE)</f>
        <v>Арсентьев Вадим Петрович
Гурьянов Виктор Григорьевич</v>
      </c>
      <c r="C13" s="11" t="str">
        <f>VLOOKUP($A13,TAB,4,FALSE)</f>
        <v>Златоуст
Златоуст</v>
      </c>
      <c r="D13" s="11" t="str">
        <f>VLOOKUP($A13,TAB,5,FALSE)</f>
        <v>TLC 79</v>
      </c>
      <c r="E13" s="15">
        <f>VLOOKUP($A13,TAB,8,FALSE)</f>
        <v>2.4537037037037036E-3</v>
      </c>
      <c r="F13" s="26"/>
      <c r="G13" s="26">
        <f>VLOOKUP($A13,TAB,70,FALSE)</f>
        <v>100</v>
      </c>
      <c r="H13" s="26">
        <f>VLOOKUP($A13,TAB,101,FALSE)</f>
        <v>100</v>
      </c>
      <c r="I13" s="69"/>
      <c r="J13" s="70"/>
      <c r="K13" s="70"/>
      <c r="L13" s="70"/>
      <c r="M13" s="71"/>
      <c r="N13" s="70"/>
      <c r="O13" s="70"/>
      <c r="P13" s="70"/>
      <c r="Q13" s="25">
        <v>400</v>
      </c>
      <c r="R13" s="11" t="str">
        <f t="shared" ref="R13:R30" si="0">VLOOKUP($Q13,TAB,2,FALSE)</f>
        <v>Арсентьев Вадим Петрович
Гурьянов Виктор Григорьевич</v>
      </c>
      <c r="S13" s="11" t="str">
        <f t="shared" ref="S13:S30" si="1">VLOOKUP($Q13,TAB,4,FALSE)</f>
        <v>Златоуст
Златоуст</v>
      </c>
      <c r="T13" s="11" t="str">
        <f t="shared" ref="T13:T30" si="2">VLOOKUP($Q13,TAB,5,FALSE)</f>
        <v>TLC 79</v>
      </c>
      <c r="U13" s="15">
        <f t="shared" ref="U13:U30" si="3">VLOOKUP($Q13,TAB,9,FALSE)</f>
        <v>0</v>
      </c>
      <c r="V13" s="26">
        <f t="shared" ref="V13:V30" si="4">VLOOKUP($Q13,TAB,39,FALSE)</f>
        <v>0</v>
      </c>
      <c r="W13" s="26">
        <f t="shared" ref="W13:W30" si="5">VLOOKUP($Q13,TAB,71,FALSE)</f>
        <v>0</v>
      </c>
      <c r="X13" s="26">
        <f t="shared" ref="X13:X30" si="6">VLOOKUP($Q13,TAB,102,FALSE)</f>
        <v>0</v>
      </c>
      <c r="Y13" s="15">
        <f t="shared" ref="Y13:Y30" si="7">VLOOKUP($Q13,TAB,10,FALSE)</f>
        <v>3.1249999999999997E-3</v>
      </c>
      <c r="Z13" s="26">
        <f t="shared" ref="Z13:Z30" si="8">VLOOKUP($Q13,TAB,40,FALSE)</f>
        <v>0</v>
      </c>
      <c r="AA13" s="26">
        <f t="shared" ref="AA13:AA30" si="9">VLOOKUP($Q13,TAB,72,FALSE)</f>
        <v>78</v>
      </c>
      <c r="AB13" s="26">
        <f t="shared" ref="AB13:AB30" si="10">VLOOKUP($Q13,TAB,103,FALSE)</f>
        <v>78</v>
      </c>
      <c r="AC13" s="15">
        <f t="shared" ref="AC13:AC30" si="11">VLOOKUP($Q13,TAB,11,FALSE)</f>
        <v>2.6337962962962968E-3</v>
      </c>
      <c r="AD13" s="26">
        <f t="shared" ref="AD13:AD30" si="12">VLOOKUP($Q13,TAB,41,FALSE)</f>
        <v>0</v>
      </c>
      <c r="AE13" s="26">
        <f t="shared" ref="AE13:AE30" si="13">VLOOKUP($Q13,TAB,73,FALSE)</f>
        <v>63</v>
      </c>
      <c r="AF13" s="26">
        <f t="shared" ref="AF13:AF30" si="14">VLOOKUP($Q13,TAB,104,FALSE)</f>
        <v>63</v>
      </c>
      <c r="AG13" s="25">
        <v>400</v>
      </c>
      <c r="AH13" s="11" t="str">
        <f t="shared" ref="AH13:AH30" si="15">VLOOKUP($AG13,TAB,2,FALSE)</f>
        <v>Арсентьев Вадим Петрович
Гурьянов Виктор Григорьевич</v>
      </c>
      <c r="AI13" s="11" t="str">
        <f t="shared" ref="AI13:AI30" si="16">VLOOKUP($AG13,TAB,4,FALSE)</f>
        <v>Златоуст
Златоуст</v>
      </c>
      <c r="AJ13" s="11" t="str">
        <f t="shared" ref="AJ13:AJ30" si="17">VLOOKUP($AG13,TAB,3,FALSE)</f>
        <v>171253</v>
      </c>
      <c r="AK13" s="15">
        <f t="shared" ref="AK13:AK30" si="18">VLOOKUP($AG13,TAB,12,FALSE)</f>
        <v>2.5115740740740741E-3</v>
      </c>
      <c r="AL13" s="26">
        <f>VLOOKUP($AG13,TAB,42,FALSE)</f>
        <v>0</v>
      </c>
      <c r="AM13" s="26">
        <f t="shared" ref="AM13:AM30" si="19">VLOOKUP($AG13,TAB,74,FALSE)</f>
        <v>78</v>
      </c>
      <c r="AN13" s="26">
        <f t="shared" ref="AN13:AN30" si="20">VLOOKUP($AG13,TAB,105,FALSE)</f>
        <v>78</v>
      </c>
      <c r="AO13" s="15">
        <f t="shared" ref="AO13:AO30" si="21">VLOOKUP($AG13,TAB,13,FALSE)</f>
        <v>2.3379629629629631E-3</v>
      </c>
      <c r="AP13" s="26">
        <f>VLOOKUP($AG13,TAB,43,FALSE)</f>
        <v>0</v>
      </c>
      <c r="AQ13" s="26">
        <f t="shared" ref="AQ13:AQ30" si="22">VLOOKUP($AG13,TAB,75,FALSE)</f>
        <v>60</v>
      </c>
      <c r="AR13" s="26">
        <f t="shared" ref="AR13:AR30" si="23">VLOOKUP($AG13,TAB,106,FALSE)</f>
        <v>60</v>
      </c>
      <c r="AS13" s="15" t="str">
        <f t="shared" ref="AS13:AS30" si="24">VLOOKUP($AG13,TAB,14,FALSE)</f>
        <v>DNF</v>
      </c>
      <c r="AT13" s="26">
        <f>VLOOKUP($AG13,TAB,44,FALSE)</f>
        <v>0</v>
      </c>
      <c r="AU13" s="26">
        <f t="shared" ref="AU13:AU30" si="25">VLOOKUP($AG13,TAB,76,FALSE)</f>
        <v>20</v>
      </c>
      <c r="AV13" s="26">
        <f t="shared" ref="AV13:AV30" si="26">VLOOKUP($AG13,TAB,107,FALSE)</f>
        <v>20</v>
      </c>
      <c r="AW13" s="25">
        <v>400</v>
      </c>
      <c r="AX13" s="11" t="str">
        <f t="shared" ref="AX13:AX30" si="27">VLOOKUP($AW13,TAB,2,FALSE)</f>
        <v>Арсентьев Вадим Петрович
Гурьянов Виктор Григорьевич</v>
      </c>
      <c r="AY13" s="11" t="str">
        <f t="shared" ref="AY13:AY30" si="28">VLOOKUP($AW13,TAB,4,FALSE)</f>
        <v>Златоуст
Златоуст</v>
      </c>
      <c r="AZ13" s="11" t="str">
        <f t="shared" ref="AZ13:AZ30" si="29">VLOOKUP($AW13,TAB,5,FALSE)</f>
        <v>TLC 79</v>
      </c>
      <c r="BA13" s="15">
        <f t="shared" ref="BA13:BA30" si="30">VLOOKUP($AW13,TAB,15,FALSE)</f>
        <v>1.0813657407407408E-3</v>
      </c>
      <c r="BB13" s="26">
        <f>VLOOKUP($AW13,TAB,45,FALSE)</f>
        <v>0</v>
      </c>
      <c r="BC13" s="26">
        <f t="shared" ref="BC13:BC30" si="31">VLOOKUP($AW13,TAB,77,FALSE)</f>
        <v>84</v>
      </c>
      <c r="BD13" s="26">
        <f t="shared" ref="BD13:BD30" si="32">VLOOKUP($AW13,TAB,108,FALSE)</f>
        <v>84</v>
      </c>
      <c r="BE13" s="15">
        <f t="shared" ref="BE13:BE30" si="33">VLOOKUP($AW13,TAB,16,FALSE)</f>
        <v>2.6829861111111112E-3</v>
      </c>
      <c r="BF13" s="26">
        <f>VLOOKUP($AW13,TAB,46,FALSE)</f>
        <v>0</v>
      </c>
      <c r="BG13" s="26">
        <f t="shared" ref="BG13:BG30" si="34">VLOOKUP($AW13,TAB,78,FALSE)</f>
        <v>75</v>
      </c>
      <c r="BH13" s="26">
        <f t="shared" ref="BH13:BH30" si="35">VLOOKUP($AW13,TAB,109,FALSE)</f>
        <v>75</v>
      </c>
      <c r="BI13" s="15">
        <f t="shared" ref="BI13:BI30" si="36">VLOOKUP($AW13,TAB,17,FALSE)</f>
        <v>5.347222222222222E-3</v>
      </c>
      <c r="BJ13" s="26">
        <f>VLOOKUP($AW13,TAB,47,FALSE)</f>
        <v>80</v>
      </c>
      <c r="BK13" s="26">
        <f t="shared" ref="BK13:BK30" si="37">VLOOKUP($AW13,TAB,79,FALSE)</f>
        <v>58</v>
      </c>
      <c r="BL13" s="26">
        <f t="shared" ref="BL13:BL30" si="38">VLOOKUP($AW13,TAB,110,FALSE)</f>
        <v>0</v>
      </c>
      <c r="BM13" s="25">
        <v>400</v>
      </c>
      <c r="BN13" s="11" t="str">
        <f t="shared" ref="BN13:BN30" si="39">VLOOKUP($BM13,TAB,2,FALSE)</f>
        <v>Арсентьев Вадим Петрович
Гурьянов Виктор Григорьевич</v>
      </c>
      <c r="BO13" s="11" t="str">
        <f t="shared" ref="BO13:BO30" si="40">VLOOKUP($BM13,TAB,4,FALSE)</f>
        <v>Златоуст
Златоуст</v>
      </c>
      <c r="BP13" s="11" t="str">
        <f t="shared" ref="BP13:BP30" si="41">VLOOKUP($BM13,TAB,5,FALSE)</f>
        <v>TLC 79</v>
      </c>
      <c r="BQ13" s="15">
        <f>VLOOKUP($BM13,TAB,18,FALSE)</f>
        <v>1.5162037037037036E-3</v>
      </c>
      <c r="BR13" s="26">
        <f>VLOOKUP($BM13,TAB,48,FALSE)</f>
        <v>0</v>
      </c>
      <c r="BS13" s="26">
        <f t="shared" ref="BS13:BS30" si="42">VLOOKUP($BM13,TAB,80,FALSE)</f>
        <v>81</v>
      </c>
      <c r="BT13" s="26">
        <f t="shared" ref="BT13:BT30" si="43">VLOOKUP($BM13,TAB,111,FALSE)</f>
        <v>81</v>
      </c>
      <c r="BU13" s="15">
        <f>VLOOKUP($BM13,TAB,19,FALSE)</f>
        <v>2.1643518518518518E-3</v>
      </c>
      <c r="BV13" s="26">
        <f t="shared" ref="BV13:BV30" si="44">VLOOKUP($BM13,TAB,49,FALSE)</f>
        <v>0</v>
      </c>
      <c r="BW13" s="26">
        <f t="shared" ref="BW13:BW30" si="45">VLOOKUP($BM13,TAB,81,FALSE)</f>
        <v>69</v>
      </c>
      <c r="BX13" s="26">
        <f t="shared" ref="BX13:BX30" si="46">VLOOKUP($BM13,TAB,112,FALSE)</f>
        <v>69</v>
      </c>
      <c r="BY13" s="15">
        <f>VLOOKUP($BM13,TAB,20,FALSE)</f>
        <v>2.7893518518518519E-3</v>
      </c>
      <c r="BZ13" s="26">
        <f t="shared" ref="BZ13:BZ30" si="47">VLOOKUP($BM13,TAB,50,FALSE)</f>
        <v>0</v>
      </c>
      <c r="CA13" s="26">
        <f t="shared" ref="CA13:CA30" si="48">VLOOKUP($BM13,TAB,82,FALSE)</f>
        <v>63</v>
      </c>
      <c r="CB13" s="26">
        <f t="shared" ref="CB13:CB30" si="49">VLOOKUP($BM13,TAB,113,FALSE)</f>
        <v>63</v>
      </c>
      <c r="CC13" s="25">
        <v>400</v>
      </c>
      <c r="CD13" s="11" t="str">
        <f t="shared" ref="CD13:CD30" si="50">VLOOKUP($CC13,TAB,2,FALSE)</f>
        <v>Арсентьев Вадим Петрович
Гурьянов Виктор Григорьевич</v>
      </c>
      <c r="CE13" s="11" t="str">
        <f t="shared" ref="CE13:CE30" si="51">VLOOKUP($CC13,TAB,4,FALSE)</f>
        <v>Златоуст
Златоуст</v>
      </c>
      <c r="CF13" s="11" t="str">
        <f t="shared" ref="CF13:CF30" si="52">VLOOKUP($CC13,TAB,5,FALSE)</f>
        <v>TLC 79</v>
      </c>
      <c r="CG13" s="15">
        <f>VLOOKUP($CC13,TAB,21,FALSE)</f>
        <v>2.0797453703703703E-3</v>
      </c>
      <c r="CH13" s="26">
        <f t="shared" ref="CH13:CH30" si="53">VLOOKUP($CC13,TAB,51,FALSE)</f>
        <v>0</v>
      </c>
      <c r="CI13" s="26">
        <f t="shared" ref="CI13:CI30" si="54">VLOOKUP($CC13,TAB,83,FALSE)</f>
        <v>81</v>
      </c>
      <c r="CJ13" s="26">
        <f t="shared" ref="CJ13:CJ30" si="55">VLOOKUP($CC13,TAB,114,FALSE)</f>
        <v>81</v>
      </c>
      <c r="CK13" s="15">
        <f>VLOOKUP($CC13,TAB,22,FALSE)</f>
        <v>0</v>
      </c>
      <c r="CL13" s="26">
        <f t="shared" ref="CL13:CL30" si="56">VLOOKUP($CC13,TAB,52,FALSE)</f>
        <v>0</v>
      </c>
      <c r="CM13" s="26">
        <f t="shared" ref="CM13:CM30" si="57">VLOOKUP($CC13,TAB,84,FALSE)</f>
        <v>0</v>
      </c>
      <c r="CN13" s="26">
        <f t="shared" ref="CN13:CN30" si="58">VLOOKUP($CC13,TAB,115,FALSE)</f>
        <v>0</v>
      </c>
      <c r="CO13" s="15">
        <f>VLOOKUP($CC13,TAB,23,FALSE)</f>
        <v>0</v>
      </c>
      <c r="CP13" s="26">
        <f t="shared" ref="CP13:CP30" si="59">VLOOKUP($CC13,TAB,53,FALSE)</f>
        <v>0</v>
      </c>
      <c r="CQ13" s="26">
        <f t="shared" ref="CQ13:CQ30" si="60">VLOOKUP($CC13,TAB,85,FALSE)</f>
        <v>0</v>
      </c>
      <c r="CR13" s="26">
        <f t="shared" ref="CR13:CR30" si="61">VLOOKUP($CC13,TAB,116,FALSE)</f>
        <v>0</v>
      </c>
      <c r="CS13" s="11">
        <f>CR13+CN13+CJ13+CB13+BX13+BT13+BL13+BH13+BD13+AV13+AR13+AN13+AF13+AB13+X13+H13</f>
        <v>852</v>
      </c>
    </row>
    <row r="14" spans="1:97" s="6" customFormat="1" ht="60" x14ac:dyDescent="0.25">
      <c r="A14" s="25">
        <v>401</v>
      </c>
      <c r="B14" s="11" t="str">
        <f>VLOOKUP($A14,TAB,2,FALSE)</f>
        <v>Базылев Максим Сергеевич
Эйкевич Владимир Олегович</v>
      </c>
      <c r="C14" s="11" t="str">
        <f>VLOOKUP($A14,TAB,4,FALSE)</f>
        <v>Челябинск
Челябинск</v>
      </c>
      <c r="D14" s="11" t="str">
        <f>VLOOKUP($A14,TAB,5,FALSE)</f>
        <v>УАЗ Патриот</v>
      </c>
      <c r="E14" s="15">
        <f>VLOOKUP($A14,TAB,8,FALSE)</f>
        <v>3.7847222222222223E-3</v>
      </c>
      <c r="F14" s="26"/>
      <c r="G14" s="26">
        <f>VLOOKUP($A14,TAB,70,FALSE)</f>
        <v>56</v>
      </c>
      <c r="H14" s="26">
        <f>VLOOKUP($A14,TAB,101,FALSE)</f>
        <v>56</v>
      </c>
      <c r="I14" s="69"/>
      <c r="J14" s="70"/>
      <c r="K14" s="70"/>
      <c r="L14" s="70"/>
      <c r="M14" s="71"/>
      <c r="N14" s="70"/>
      <c r="O14" s="70"/>
      <c r="P14" s="70"/>
      <c r="Q14" s="25">
        <v>401</v>
      </c>
      <c r="R14" s="11" t="str">
        <f t="shared" si="0"/>
        <v>Базылев Максим Сергеевич
Эйкевич Владимир Олегович</v>
      </c>
      <c r="S14" s="11" t="str">
        <f t="shared" si="1"/>
        <v>Челябинск
Челябинск</v>
      </c>
      <c r="T14" s="11" t="str">
        <f t="shared" si="2"/>
        <v>УАЗ Патриот</v>
      </c>
      <c r="U14" s="15">
        <f t="shared" si="3"/>
        <v>0</v>
      </c>
      <c r="V14" s="26">
        <f t="shared" si="4"/>
        <v>0</v>
      </c>
      <c r="W14" s="26">
        <f t="shared" si="5"/>
        <v>0</v>
      </c>
      <c r="X14" s="26">
        <f t="shared" si="6"/>
        <v>0</v>
      </c>
      <c r="Y14" s="15" t="str">
        <f t="shared" si="7"/>
        <v>DNF</v>
      </c>
      <c r="Z14" s="26">
        <f t="shared" si="8"/>
        <v>20</v>
      </c>
      <c r="AA14" s="26">
        <f t="shared" si="9"/>
        <v>20</v>
      </c>
      <c r="AB14" s="26">
        <f t="shared" si="10"/>
        <v>0</v>
      </c>
      <c r="AC14" s="15">
        <f t="shared" si="11"/>
        <v>0</v>
      </c>
      <c r="AD14" s="26">
        <f t="shared" si="12"/>
        <v>0</v>
      </c>
      <c r="AE14" s="26">
        <f t="shared" si="13"/>
        <v>0</v>
      </c>
      <c r="AF14" s="26">
        <f t="shared" si="14"/>
        <v>0</v>
      </c>
      <c r="AG14" s="25">
        <v>401</v>
      </c>
      <c r="AH14" s="11" t="str">
        <f t="shared" si="15"/>
        <v>Базылев Максим Сергеевич
Эйкевич Владимир Олегович</v>
      </c>
      <c r="AI14" s="11" t="str">
        <f t="shared" si="16"/>
        <v>Челябинск
Челябинск</v>
      </c>
      <c r="AJ14" s="11">
        <f t="shared" si="17"/>
        <v>0</v>
      </c>
      <c r="AK14" s="15">
        <f t="shared" si="18"/>
        <v>0</v>
      </c>
      <c r="AL14" s="26">
        <f>VLOOKUP($AG14,TAB,42,FALSE)</f>
        <v>0</v>
      </c>
      <c r="AM14" s="26">
        <f t="shared" si="19"/>
        <v>0</v>
      </c>
      <c r="AN14" s="26">
        <f t="shared" si="20"/>
        <v>0</v>
      </c>
      <c r="AO14" s="15">
        <f t="shared" si="21"/>
        <v>0</v>
      </c>
      <c r="AP14" s="26">
        <f>VLOOKUP($AG14,TAB,43,FALSE)</f>
        <v>0</v>
      </c>
      <c r="AQ14" s="26">
        <f t="shared" si="22"/>
        <v>0</v>
      </c>
      <c r="AR14" s="26">
        <f t="shared" si="23"/>
        <v>0</v>
      </c>
      <c r="AS14" s="15">
        <f t="shared" si="24"/>
        <v>0</v>
      </c>
      <c r="AT14" s="26">
        <f>VLOOKUP($AG14,TAB,44,FALSE)</f>
        <v>0</v>
      </c>
      <c r="AU14" s="26">
        <f t="shared" si="25"/>
        <v>0</v>
      </c>
      <c r="AV14" s="26">
        <f t="shared" si="26"/>
        <v>0</v>
      </c>
      <c r="AW14" s="25">
        <v>401</v>
      </c>
      <c r="AX14" s="11" t="str">
        <f t="shared" si="27"/>
        <v>Базылев Максим Сергеевич
Эйкевич Владимир Олегович</v>
      </c>
      <c r="AY14" s="11" t="str">
        <f t="shared" si="28"/>
        <v>Челябинск
Челябинск</v>
      </c>
      <c r="AZ14" s="11" t="str">
        <f t="shared" si="29"/>
        <v>УАЗ Патриот</v>
      </c>
      <c r="BA14" s="15">
        <f t="shared" si="30"/>
        <v>0</v>
      </c>
      <c r="BB14" s="26">
        <f>VLOOKUP($AW14,TAB,45,FALSE)</f>
        <v>0</v>
      </c>
      <c r="BC14" s="26">
        <f t="shared" si="31"/>
        <v>0</v>
      </c>
      <c r="BD14" s="26">
        <f t="shared" si="32"/>
        <v>0</v>
      </c>
      <c r="BE14" s="15">
        <f t="shared" si="33"/>
        <v>0</v>
      </c>
      <c r="BF14" s="26">
        <f>VLOOKUP($AW14,TAB,46,FALSE)</f>
        <v>0</v>
      </c>
      <c r="BG14" s="26">
        <f t="shared" si="34"/>
        <v>0</v>
      </c>
      <c r="BH14" s="26">
        <f t="shared" si="35"/>
        <v>0</v>
      </c>
      <c r="BI14" s="15">
        <f t="shared" si="36"/>
        <v>0</v>
      </c>
      <c r="BJ14" s="26">
        <f>VLOOKUP($AW14,TAB,47,FALSE)</f>
        <v>0</v>
      </c>
      <c r="BK14" s="26">
        <f t="shared" si="37"/>
        <v>0</v>
      </c>
      <c r="BL14" s="26">
        <f t="shared" si="38"/>
        <v>0</v>
      </c>
      <c r="BM14" s="25">
        <v>401</v>
      </c>
      <c r="BN14" s="11" t="str">
        <f t="shared" si="39"/>
        <v>Базылев Максим Сергеевич
Эйкевич Владимир Олегович</v>
      </c>
      <c r="BO14" s="11" t="str">
        <f t="shared" si="40"/>
        <v>Челябинск
Челябинск</v>
      </c>
      <c r="BP14" s="11" t="str">
        <f t="shared" si="41"/>
        <v>УАЗ Патриот</v>
      </c>
      <c r="BQ14" s="15">
        <f>VLOOKUP($BM14,TAB,18,FALSE)</f>
        <v>0</v>
      </c>
      <c r="BR14" s="26">
        <f>VLOOKUP($BM14,TAB,48,FALSE)</f>
        <v>0</v>
      </c>
      <c r="BS14" s="26">
        <f t="shared" si="42"/>
        <v>0</v>
      </c>
      <c r="BT14" s="26">
        <f t="shared" si="43"/>
        <v>0</v>
      </c>
      <c r="BU14" s="15">
        <f>VLOOKUP($BM14,TAB,19,FALSE)</f>
        <v>0</v>
      </c>
      <c r="BV14" s="26">
        <f t="shared" si="44"/>
        <v>0</v>
      </c>
      <c r="BW14" s="26">
        <f t="shared" si="45"/>
        <v>0</v>
      </c>
      <c r="BX14" s="26">
        <f t="shared" si="46"/>
        <v>0</v>
      </c>
      <c r="BY14" s="15">
        <f>VLOOKUP($BM14,TAB,20,FALSE)</f>
        <v>0</v>
      </c>
      <c r="BZ14" s="26">
        <f t="shared" si="47"/>
        <v>0</v>
      </c>
      <c r="CA14" s="26">
        <f t="shared" si="48"/>
        <v>0</v>
      </c>
      <c r="CB14" s="26">
        <f t="shared" si="49"/>
        <v>0</v>
      </c>
      <c r="CC14" s="25">
        <v>401</v>
      </c>
      <c r="CD14" s="11" t="str">
        <f t="shared" si="50"/>
        <v>Базылев Максим Сергеевич
Эйкевич Владимир Олегович</v>
      </c>
      <c r="CE14" s="11" t="str">
        <f t="shared" si="51"/>
        <v>Челябинск
Челябинск</v>
      </c>
      <c r="CF14" s="11" t="str">
        <f t="shared" si="52"/>
        <v>УАЗ Патриот</v>
      </c>
      <c r="CG14" s="15">
        <f>VLOOKUP($CC14,TAB,21,FALSE)</f>
        <v>0</v>
      </c>
      <c r="CH14" s="26">
        <f t="shared" si="53"/>
        <v>0</v>
      </c>
      <c r="CI14" s="26">
        <f t="shared" si="54"/>
        <v>0</v>
      </c>
      <c r="CJ14" s="26">
        <f t="shared" si="55"/>
        <v>0</v>
      </c>
      <c r="CK14" s="15">
        <f>VLOOKUP($CC14,TAB,22,FALSE)</f>
        <v>0</v>
      </c>
      <c r="CL14" s="26">
        <f t="shared" si="56"/>
        <v>0</v>
      </c>
      <c r="CM14" s="26">
        <f t="shared" si="57"/>
        <v>0</v>
      </c>
      <c r="CN14" s="26">
        <f t="shared" si="58"/>
        <v>0</v>
      </c>
      <c r="CO14" s="15">
        <f>VLOOKUP($CC14,TAB,23,FALSE)</f>
        <v>0</v>
      </c>
      <c r="CP14" s="26">
        <f t="shared" si="59"/>
        <v>0</v>
      </c>
      <c r="CQ14" s="26">
        <f t="shared" si="60"/>
        <v>0</v>
      </c>
      <c r="CR14" s="26">
        <f t="shared" si="61"/>
        <v>0</v>
      </c>
      <c r="CS14" s="11">
        <f t="shared" ref="CS14:CS30" si="62">CR14+CN14+CJ14+CB14+BX14+BT14+BL14+BH14+BD14+AV14+AR14+AN14+AF14+AB14+X14+H14</f>
        <v>56</v>
      </c>
    </row>
    <row r="15" spans="1:97" s="6" customFormat="1" ht="60" x14ac:dyDescent="0.25">
      <c r="A15" s="25">
        <v>402</v>
      </c>
      <c r="B15" s="11" t="str">
        <f>VLOOKUP($A15,TAB,2,FALSE)</f>
        <v>Бекметов Рустам Олегович
Песняев Евгений Анатольевич</v>
      </c>
      <c r="C15" s="11" t="str">
        <f>VLOOKUP($A15,TAB,4,FALSE)</f>
        <v>Магнитогорск
Магнитогорск</v>
      </c>
      <c r="D15" s="11" t="str">
        <f>VLOOKUP($A15,TAB,5,FALSE)</f>
        <v>Suzuki Samurai</v>
      </c>
      <c r="E15" s="15">
        <f>VLOOKUP($A15,TAB,8,FALSE)</f>
        <v>2.615740740740741E-3</v>
      </c>
      <c r="F15" s="26"/>
      <c r="G15" s="26">
        <f>VLOOKUP($A15,TAB,70,FALSE)</f>
        <v>90</v>
      </c>
      <c r="H15" s="26">
        <f>VLOOKUP($A15,TAB,101,FALSE)</f>
        <v>90</v>
      </c>
      <c r="I15" s="69"/>
      <c r="J15" s="70"/>
      <c r="K15" s="70"/>
      <c r="L15" s="70"/>
      <c r="M15" s="71"/>
      <c r="N15" s="70"/>
      <c r="O15" s="70"/>
      <c r="P15" s="70"/>
      <c r="Q15" s="25">
        <v>402</v>
      </c>
      <c r="R15" s="11" t="str">
        <f t="shared" si="0"/>
        <v>Бекметов Рустам Олегович
Песняев Евгений Анатольевич</v>
      </c>
      <c r="S15" s="11" t="str">
        <f t="shared" si="1"/>
        <v>Магнитогорск
Магнитогорск</v>
      </c>
      <c r="T15" s="11" t="str">
        <f t="shared" si="2"/>
        <v>Suzuki Samurai</v>
      </c>
      <c r="U15" s="15">
        <f t="shared" si="3"/>
        <v>0</v>
      </c>
      <c r="V15" s="26">
        <f t="shared" si="4"/>
        <v>0</v>
      </c>
      <c r="W15" s="26">
        <f t="shared" si="5"/>
        <v>0</v>
      </c>
      <c r="X15" s="26">
        <f t="shared" si="6"/>
        <v>0</v>
      </c>
      <c r="Y15" s="15">
        <f t="shared" si="7"/>
        <v>2.685185185185185E-3</v>
      </c>
      <c r="Z15" s="26">
        <f t="shared" si="8"/>
        <v>0</v>
      </c>
      <c r="AA15" s="26">
        <f t="shared" si="9"/>
        <v>100</v>
      </c>
      <c r="AB15" s="26">
        <f t="shared" si="10"/>
        <v>100</v>
      </c>
      <c r="AC15" s="15">
        <f t="shared" si="11"/>
        <v>1.7415509259259259E-3</v>
      </c>
      <c r="AD15" s="26">
        <f t="shared" si="12"/>
        <v>0</v>
      </c>
      <c r="AE15" s="26">
        <f t="shared" si="13"/>
        <v>90</v>
      </c>
      <c r="AF15" s="26">
        <f t="shared" si="14"/>
        <v>90</v>
      </c>
      <c r="AG15" s="25">
        <v>402</v>
      </c>
      <c r="AH15" s="11" t="str">
        <f t="shared" si="15"/>
        <v>Бекметов Рустам Олегович
Песняев Евгений Анатольевич</v>
      </c>
      <c r="AI15" s="11" t="str">
        <f t="shared" si="16"/>
        <v>Магнитогорск
Магнитогорск</v>
      </c>
      <c r="AJ15" s="11" t="str">
        <f t="shared" si="17"/>
        <v>182909</v>
      </c>
      <c r="AK15" s="15">
        <f t="shared" si="18"/>
        <v>1.6087962962962963E-3</v>
      </c>
      <c r="AL15" s="26">
        <f>VLOOKUP($AG15,TAB,42,FALSE)</f>
        <v>0</v>
      </c>
      <c r="AM15" s="26">
        <f t="shared" si="19"/>
        <v>90</v>
      </c>
      <c r="AN15" s="26">
        <f t="shared" si="20"/>
        <v>90</v>
      </c>
      <c r="AO15" s="15">
        <f t="shared" si="21"/>
        <v>1.736111111111111E-3</v>
      </c>
      <c r="AP15" s="26">
        <f>VLOOKUP($AG15,TAB,43,FALSE)</f>
        <v>0</v>
      </c>
      <c r="AQ15" s="26">
        <f t="shared" si="22"/>
        <v>84</v>
      </c>
      <c r="AR15" s="26">
        <f t="shared" si="23"/>
        <v>84</v>
      </c>
      <c r="AS15" s="15">
        <f t="shared" si="24"/>
        <v>1.5245370370370369E-3</v>
      </c>
      <c r="AT15" s="26">
        <f>VLOOKUP($AG15,TAB,44,FALSE)</f>
        <v>0</v>
      </c>
      <c r="AU15" s="26">
        <f t="shared" si="25"/>
        <v>90</v>
      </c>
      <c r="AV15" s="26">
        <f t="shared" si="26"/>
        <v>90</v>
      </c>
      <c r="AW15" s="25">
        <v>402</v>
      </c>
      <c r="AX15" s="11" t="str">
        <f t="shared" si="27"/>
        <v>Бекметов Рустам Олегович
Песняев Евгений Анатольевич</v>
      </c>
      <c r="AY15" s="11" t="str">
        <f t="shared" si="28"/>
        <v>Магнитогорск
Магнитогорск</v>
      </c>
      <c r="AZ15" s="11" t="str">
        <f t="shared" si="29"/>
        <v>Suzuki Samurai</v>
      </c>
      <c r="BA15" s="15">
        <f t="shared" si="30"/>
        <v>8.1481481481481476E-4</v>
      </c>
      <c r="BB15" s="26">
        <f>VLOOKUP($AW15,TAB,45,FALSE)</f>
        <v>0</v>
      </c>
      <c r="BC15" s="26">
        <f t="shared" si="31"/>
        <v>95</v>
      </c>
      <c r="BD15" s="26">
        <f t="shared" si="32"/>
        <v>95</v>
      </c>
      <c r="BE15" s="15">
        <f t="shared" si="33"/>
        <v>1.8030092592592594E-3</v>
      </c>
      <c r="BF15" s="26">
        <f>VLOOKUP($AW15,TAB,46,FALSE)</f>
        <v>0</v>
      </c>
      <c r="BG15" s="26">
        <f t="shared" si="34"/>
        <v>95</v>
      </c>
      <c r="BH15" s="26">
        <f t="shared" si="35"/>
        <v>95</v>
      </c>
      <c r="BI15" s="15">
        <f t="shared" si="36"/>
        <v>3.0092592592592588E-3</v>
      </c>
      <c r="BJ15" s="26">
        <f>VLOOKUP($AW15,TAB,47,FALSE)</f>
        <v>0</v>
      </c>
      <c r="BK15" s="26">
        <f t="shared" si="37"/>
        <v>95</v>
      </c>
      <c r="BL15" s="26">
        <f t="shared" si="38"/>
        <v>95</v>
      </c>
      <c r="BM15" s="25">
        <v>402</v>
      </c>
      <c r="BN15" s="11" t="str">
        <f t="shared" si="39"/>
        <v>Бекметов Рустам Олегович
Песняев Евгений Анатольевич</v>
      </c>
      <c r="BO15" s="11" t="str">
        <f t="shared" si="40"/>
        <v>Магнитогорск
Магнитогорск</v>
      </c>
      <c r="BP15" s="11" t="str">
        <f t="shared" si="41"/>
        <v>Suzuki Samurai</v>
      </c>
      <c r="BQ15" s="15">
        <f>VLOOKUP($BM15,TAB,18,FALSE)</f>
        <v>1.4127314814814816E-3</v>
      </c>
      <c r="BR15" s="26">
        <f>VLOOKUP($BM15,TAB,48,FALSE)</f>
        <v>0</v>
      </c>
      <c r="BS15" s="26">
        <f t="shared" si="42"/>
        <v>84</v>
      </c>
      <c r="BT15" s="26">
        <f t="shared" si="43"/>
        <v>84</v>
      </c>
      <c r="BU15" s="15">
        <f>VLOOKUP($BM15,TAB,19,FALSE)</f>
        <v>1.4583333333333334E-3</v>
      </c>
      <c r="BV15" s="26">
        <f t="shared" si="44"/>
        <v>0</v>
      </c>
      <c r="BW15" s="26">
        <f t="shared" si="45"/>
        <v>90</v>
      </c>
      <c r="BX15" s="26">
        <f t="shared" si="46"/>
        <v>90</v>
      </c>
      <c r="BY15" s="15">
        <f>VLOOKUP($BM15,TAB,20,FALSE)</f>
        <v>2.3495370370370371E-3</v>
      </c>
      <c r="BZ15" s="26">
        <f t="shared" si="47"/>
        <v>0</v>
      </c>
      <c r="CA15" s="26">
        <f t="shared" si="48"/>
        <v>78</v>
      </c>
      <c r="CB15" s="26">
        <f t="shared" si="49"/>
        <v>78</v>
      </c>
      <c r="CC15" s="25">
        <v>402</v>
      </c>
      <c r="CD15" s="11" t="str">
        <f t="shared" si="50"/>
        <v>Бекметов Рустам Олегович
Песняев Евгений Анатольевич</v>
      </c>
      <c r="CE15" s="11" t="str">
        <f t="shared" si="51"/>
        <v>Магнитогорск
Магнитогорск</v>
      </c>
      <c r="CF15" s="11" t="str">
        <f t="shared" si="52"/>
        <v>Suzuki Samurai</v>
      </c>
      <c r="CG15" s="15">
        <f>VLOOKUP($CC15,TAB,21,FALSE)</f>
        <v>1.915162037037037E-3</v>
      </c>
      <c r="CH15" s="26">
        <f t="shared" si="53"/>
        <v>0</v>
      </c>
      <c r="CI15" s="26">
        <f t="shared" si="54"/>
        <v>90</v>
      </c>
      <c r="CJ15" s="26">
        <f t="shared" si="55"/>
        <v>90</v>
      </c>
      <c r="CK15" s="15">
        <f>VLOOKUP($CC15,TAB,22,FALSE)</f>
        <v>0</v>
      </c>
      <c r="CL15" s="26">
        <f t="shared" si="56"/>
        <v>0</v>
      </c>
      <c r="CM15" s="26">
        <f t="shared" si="57"/>
        <v>0</v>
      </c>
      <c r="CN15" s="26">
        <f t="shared" si="58"/>
        <v>0</v>
      </c>
      <c r="CO15" s="15">
        <f>VLOOKUP($CC15,TAB,23,FALSE)</f>
        <v>0</v>
      </c>
      <c r="CP15" s="26">
        <f t="shared" si="59"/>
        <v>0</v>
      </c>
      <c r="CQ15" s="26">
        <f t="shared" si="60"/>
        <v>0</v>
      </c>
      <c r="CR15" s="26">
        <f t="shared" si="61"/>
        <v>0</v>
      </c>
      <c r="CS15" s="11">
        <f t="shared" si="62"/>
        <v>1171</v>
      </c>
    </row>
    <row r="16" spans="1:97" s="6" customFormat="1" ht="60" x14ac:dyDescent="0.25">
      <c r="A16" s="25">
        <v>403</v>
      </c>
      <c r="B16" s="11" t="str">
        <f>VLOOKUP($A16,TAB,2,FALSE)</f>
        <v>Бураков Евгений Станиславович
Бураков Павел Евгеньевич</v>
      </c>
      <c r="C16" s="11" t="str">
        <f>VLOOKUP($A16,TAB,4,FALSE)</f>
        <v>Челябинск
Челябинск</v>
      </c>
      <c r="D16" s="11" t="str">
        <f>VLOOKUP($A16,TAB,5,FALSE)</f>
        <v>УАЗ Патриот</v>
      </c>
      <c r="E16" s="15">
        <f>VLOOKUP($A16,TAB,8,FALSE)</f>
        <v>3.7615740740740739E-3</v>
      </c>
      <c r="F16" s="26"/>
      <c r="G16" s="26">
        <f>VLOOKUP($A16,TAB,70,FALSE)</f>
        <v>58</v>
      </c>
      <c r="H16" s="26">
        <f>VLOOKUP($A16,TAB,101,FALSE)</f>
        <v>58</v>
      </c>
      <c r="I16" s="69"/>
      <c r="J16" s="70"/>
      <c r="K16" s="70"/>
      <c r="L16" s="70"/>
      <c r="M16" s="71"/>
      <c r="N16" s="70"/>
      <c r="O16" s="70"/>
      <c r="P16" s="70"/>
      <c r="Q16" s="25">
        <v>403</v>
      </c>
      <c r="R16" s="11" t="str">
        <f t="shared" si="0"/>
        <v>Бураков Евгений Станиславович
Бураков Павел Евгеньевич</v>
      </c>
      <c r="S16" s="11" t="str">
        <f t="shared" si="1"/>
        <v>Челябинск
Челябинск</v>
      </c>
      <c r="T16" s="11" t="str">
        <f t="shared" si="2"/>
        <v>УАЗ Патриот</v>
      </c>
      <c r="U16" s="15">
        <f t="shared" si="3"/>
        <v>0</v>
      </c>
      <c r="V16" s="26">
        <f t="shared" si="4"/>
        <v>0</v>
      </c>
      <c r="W16" s="26">
        <f t="shared" si="5"/>
        <v>0</v>
      </c>
      <c r="X16" s="26">
        <f t="shared" si="6"/>
        <v>0</v>
      </c>
      <c r="Y16" s="15">
        <f t="shared" si="7"/>
        <v>3.2407407407407406E-3</v>
      </c>
      <c r="Z16" s="26">
        <f t="shared" si="8"/>
        <v>0</v>
      </c>
      <c r="AA16" s="26">
        <f t="shared" si="9"/>
        <v>72</v>
      </c>
      <c r="AB16" s="26">
        <f t="shared" si="10"/>
        <v>72</v>
      </c>
      <c r="AC16" s="15">
        <f t="shared" si="11"/>
        <v>2.2576388888888889E-3</v>
      </c>
      <c r="AD16" s="26">
        <f t="shared" si="12"/>
        <v>0</v>
      </c>
      <c r="AE16" s="26">
        <f t="shared" si="13"/>
        <v>72</v>
      </c>
      <c r="AF16" s="26">
        <f t="shared" si="14"/>
        <v>72</v>
      </c>
      <c r="AG16" s="25">
        <v>403</v>
      </c>
      <c r="AH16" s="11" t="str">
        <f t="shared" si="15"/>
        <v>Бураков Евгений Станиславович
Бураков Павел Евгеньевич</v>
      </c>
      <c r="AI16" s="11" t="str">
        <f t="shared" si="16"/>
        <v>Челябинск
Челябинск</v>
      </c>
      <c r="AJ16" s="11">
        <f t="shared" si="17"/>
        <v>0</v>
      </c>
      <c r="AK16" s="15">
        <f t="shared" si="18"/>
        <v>2.7726851851851853E-3</v>
      </c>
      <c r="AL16" s="26">
        <f>VLOOKUP($AG16,TAB,42,FALSE)</f>
        <v>0</v>
      </c>
      <c r="AM16" s="26">
        <f t="shared" si="19"/>
        <v>69</v>
      </c>
      <c r="AN16" s="26">
        <f t="shared" si="20"/>
        <v>69</v>
      </c>
      <c r="AO16" s="15">
        <f t="shared" si="21"/>
        <v>1.9560185185185184E-3</v>
      </c>
      <c r="AP16" s="26">
        <f>VLOOKUP($AG16,TAB,43,FALSE)</f>
        <v>0</v>
      </c>
      <c r="AQ16" s="26">
        <f t="shared" si="22"/>
        <v>75</v>
      </c>
      <c r="AR16" s="26">
        <f t="shared" si="23"/>
        <v>75</v>
      </c>
      <c r="AS16" s="15">
        <f t="shared" si="24"/>
        <v>2.2685185185185182E-3</v>
      </c>
      <c r="AT16" s="26">
        <f>VLOOKUP($AG16,TAB,44,FALSE)</f>
        <v>0</v>
      </c>
      <c r="AU16" s="26">
        <f t="shared" si="25"/>
        <v>75</v>
      </c>
      <c r="AV16" s="26">
        <f t="shared" si="26"/>
        <v>75</v>
      </c>
      <c r="AW16" s="25">
        <v>403</v>
      </c>
      <c r="AX16" s="11" t="str">
        <f t="shared" si="27"/>
        <v>Бураков Евгений Станиславович
Бураков Павел Евгеньевич</v>
      </c>
      <c r="AY16" s="11" t="str">
        <f t="shared" si="28"/>
        <v>Челябинск
Челябинск</v>
      </c>
      <c r="AZ16" s="11" t="str">
        <f t="shared" si="29"/>
        <v>УАЗ Патриот</v>
      </c>
      <c r="BA16" s="15">
        <f t="shared" si="30"/>
        <v>1.3523148148148149E-3</v>
      </c>
      <c r="BB16" s="26">
        <f>VLOOKUP($AW16,TAB,45,FALSE)</f>
        <v>0</v>
      </c>
      <c r="BC16" s="26">
        <f t="shared" si="31"/>
        <v>75</v>
      </c>
      <c r="BD16" s="26">
        <f t="shared" si="32"/>
        <v>75</v>
      </c>
      <c r="BE16" s="15">
        <f t="shared" si="33"/>
        <v>2.9299768518518516E-3</v>
      </c>
      <c r="BF16" s="26">
        <f>VLOOKUP($AW16,TAB,46,FALSE)</f>
        <v>0</v>
      </c>
      <c r="BG16" s="26">
        <f t="shared" si="34"/>
        <v>72</v>
      </c>
      <c r="BH16" s="26">
        <f t="shared" si="35"/>
        <v>72</v>
      </c>
      <c r="BI16" s="15">
        <f t="shared" si="36"/>
        <v>4.386574074074074E-3</v>
      </c>
      <c r="BJ16" s="26">
        <f>VLOOKUP($AW16,TAB,47,FALSE)</f>
        <v>0</v>
      </c>
      <c r="BK16" s="26">
        <f t="shared" si="37"/>
        <v>66</v>
      </c>
      <c r="BL16" s="26">
        <f t="shared" si="38"/>
        <v>66</v>
      </c>
      <c r="BM16" s="25">
        <v>403</v>
      </c>
      <c r="BN16" s="11" t="str">
        <f t="shared" si="39"/>
        <v>Бураков Евгений Станиславович
Бураков Павел Евгеньевич</v>
      </c>
      <c r="BO16" s="11" t="str">
        <f t="shared" si="40"/>
        <v>Челябинск
Челябинск</v>
      </c>
      <c r="BP16" s="11" t="str">
        <f t="shared" si="41"/>
        <v>УАЗ Патриот</v>
      </c>
      <c r="BQ16" s="15">
        <f>VLOOKUP($BM16,TAB,18,FALSE)</f>
        <v>2.3098379629629628E-3</v>
      </c>
      <c r="BR16" s="26">
        <f>VLOOKUP($BM16,TAB,48,FALSE)</f>
        <v>10</v>
      </c>
      <c r="BS16" s="26">
        <f t="shared" si="42"/>
        <v>54</v>
      </c>
      <c r="BT16" s="26">
        <f t="shared" si="43"/>
        <v>44</v>
      </c>
      <c r="BU16" s="15">
        <f>VLOOKUP($BM16,TAB,19,FALSE)</f>
        <v>2.4768518518518516E-3</v>
      </c>
      <c r="BV16" s="26">
        <f t="shared" si="44"/>
        <v>0</v>
      </c>
      <c r="BW16" s="26">
        <f t="shared" si="45"/>
        <v>63</v>
      </c>
      <c r="BX16" s="26">
        <f t="shared" si="46"/>
        <v>63</v>
      </c>
      <c r="BY16" s="15">
        <f>VLOOKUP($BM16,TAB,20,FALSE)</f>
        <v>2.5925925925925925E-3</v>
      </c>
      <c r="BZ16" s="26">
        <f t="shared" si="47"/>
        <v>0</v>
      </c>
      <c r="CA16" s="26">
        <f t="shared" si="48"/>
        <v>72</v>
      </c>
      <c r="CB16" s="26">
        <f t="shared" si="49"/>
        <v>72</v>
      </c>
      <c r="CC16" s="25">
        <v>403</v>
      </c>
      <c r="CD16" s="11" t="str">
        <f t="shared" si="50"/>
        <v>Бураков Евгений Станиславович
Бураков Павел Евгеньевич</v>
      </c>
      <c r="CE16" s="11" t="str">
        <f t="shared" si="51"/>
        <v>Челябинск
Челябинск</v>
      </c>
      <c r="CF16" s="11" t="str">
        <f t="shared" si="52"/>
        <v>УАЗ Патриот</v>
      </c>
      <c r="CG16" s="15">
        <f>VLOOKUP($CC16,TAB,21,FALSE)</f>
        <v>2.6193287037037036E-3</v>
      </c>
      <c r="CH16" s="26">
        <f t="shared" si="53"/>
        <v>0</v>
      </c>
      <c r="CI16" s="26">
        <f t="shared" si="54"/>
        <v>66</v>
      </c>
      <c r="CJ16" s="26">
        <f t="shared" si="55"/>
        <v>66</v>
      </c>
      <c r="CK16" s="15">
        <f>VLOOKUP($CC16,TAB,22,FALSE)</f>
        <v>0</v>
      </c>
      <c r="CL16" s="26">
        <f t="shared" si="56"/>
        <v>0</v>
      </c>
      <c r="CM16" s="26">
        <f t="shared" si="57"/>
        <v>0</v>
      </c>
      <c r="CN16" s="26">
        <f t="shared" si="58"/>
        <v>0</v>
      </c>
      <c r="CO16" s="15">
        <f>VLOOKUP($CC16,TAB,23,FALSE)</f>
        <v>0</v>
      </c>
      <c r="CP16" s="26">
        <f t="shared" si="59"/>
        <v>0</v>
      </c>
      <c r="CQ16" s="26">
        <f t="shared" si="60"/>
        <v>0</v>
      </c>
      <c r="CR16" s="26">
        <f t="shared" si="61"/>
        <v>0</v>
      </c>
      <c r="CS16" s="11">
        <f t="shared" si="62"/>
        <v>879</v>
      </c>
    </row>
    <row r="17" spans="1:97" s="6" customFormat="1" ht="60" x14ac:dyDescent="0.25">
      <c r="A17" s="25">
        <v>405</v>
      </c>
      <c r="B17" s="11" t="str">
        <f>VLOOKUP($A17,TAB,2,FALSE)</f>
        <v>Добрыдин Андрей Николаевич
Голубенкова Анна Сергеевна</v>
      </c>
      <c r="C17" s="11" t="str">
        <f>VLOOKUP($A17,TAB,4,FALSE)</f>
        <v>Челябинск
Челябинск</v>
      </c>
      <c r="D17" s="11" t="str">
        <f>VLOOKUP($A17,TAB,5,FALSE)</f>
        <v>Mitsubishi Pajero Mini</v>
      </c>
      <c r="E17" s="15">
        <f>VLOOKUP($A17,TAB,8,FALSE)</f>
        <v>3.2870370370370367E-3</v>
      </c>
      <c r="F17" s="26"/>
      <c r="G17" s="26">
        <f>VLOOKUP($A17,TAB,70,FALSE)</f>
        <v>72</v>
      </c>
      <c r="H17" s="26">
        <f>VLOOKUP($A17,TAB,101,FALSE)</f>
        <v>72</v>
      </c>
      <c r="I17" s="69"/>
      <c r="J17" s="70"/>
      <c r="K17" s="70"/>
      <c r="L17" s="70"/>
      <c r="M17" s="71"/>
      <c r="N17" s="70"/>
      <c r="O17" s="70"/>
      <c r="P17" s="70"/>
      <c r="Q17" s="25">
        <v>405</v>
      </c>
      <c r="R17" s="11" t="str">
        <f t="shared" si="0"/>
        <v>Добрыдин Андрей Николаевич
Голубенкова Анна Сергеевна</v>
      </c>
      <c r="S17" s="11" t="str">
        <f t="shared" si="1"/>
        <v>Челябинск
Челябинск</v>
      </c>
      <c r="T17" s="11" t="str">
        <f t="shared" si="2"/>
        <v>Mitsubishi Pajero Mini</v>
      </c>
      <c r="U17" s="15">
        <f t="shared" si="3"/>
        <v>0</v>
      </c>
      <c r="V17" s="26">
        <f t="shared" si="4"/>
        <v>0</v>
      </c>
      <c r="W17" s="26">
        <f t="shared" si="5"/>
        <v>0</v>
      </c>
      <c r="X17" s="26">
        <f t="shared" si="6"/>
        <v>0</v>
      </c>
      <c r="Y17" s="15">
        <f t="shared" si="7"/>
        <v>4.2129629629629626E-3</v>
      </c>
      <c r="Z17" s="26">
        <f t="shared" si="8"/>
        <v>0</v>
      </c>
      <c r="AA17" s="26">
        <f t="shared" si="9"/>
        <v>56</v>
      </c>
      <c r="AB17" s="26">
        <f t="shared" si="10"/>
        <v>56</v>
      </c>
      <c r="AC17" s="15">
        <f t="shared" si="11"/>
        <v>2.6128472222222226E-3</v>
      </c>
      <c r="AD17" s="26">
        <f t="shared" si="12"/>
        <v>0</v>
      </c>
      <c r="AE17" s="26">
        <f t="shared" si="13"/>
        <v>66</v>
      </c>
      <c r="AF17" s="26">
        <f t="shared" si="14"/>
        <v>66</v>
      </c>
      <c r="AG17" s="25">
        <v>405</v>
      </c>
      <c r="AH17" s="11" t="str">
        <f t="shared" si="15"/>
        <v>Добрыдин Андрей Николаевич
Голубенкова Анна Сергеевна</v>
      </c>
      <c r="AI17" s="11" t="str">
        <f t="shared" si="16"/>
        <v>Челябинск
Челябинск</v>
      </c>
      <c r="AJ17" s="11">
        <f t="shared" si="17"/>
        <v>0</v>
      </c>
      <c r="AK17" s="15">
        <f t="shared" si="18"/>
        <v>3.0902777777777782E-3</v>
      </c>
      <c r="AL17" s="26">
        <f>VLOOKUP($AG17,TAB,42,FALSE)</f>
        <v>10</v>
      </c>
      <c r="AM17" s="26">
        <f t="shared" si="19"/>
        <v>58</v>
      </c>
      <c r="AN17" s="26">
        <f t="shared" si="20"/>
        <v>48</v>
      </c>
      <c r="AO17" s="15">
        <f t="shared" si="21"/>
        <v>2.6388888888888885E-3</v>
      </c>
      <c r="AP17" s="26">
        <f>VLOOKUP($AG17,TAB,43,FALSE)</f>
        <v>0</v>
      </c>
      <c r="AQ17" s="26">
        <f t="shared" si="22"/>
        <v>56</v>
      </c>
      <c r="AR17" s="26">
        <f t="shared" si="23"/>
        <v>56</v>
      </c>
      <c r="AS17" s="15">
        <f t="shared" si="24"/>
        <v>7.2858796296296291E-3</v>
      </c>
      <c r="AT17" s="26">
        <f>VLOOKUP($AG17,TAB,44,FALSE)</f>
        <v>0</v>
      </c>
      <c r="AU17" s="26">
        <f t="shared" si="25"/>
        <v>58</v>
      </c>
      <c r="AV17" s="26">
        <f t="shared" si="26"/>
        <v>58</v>
      </c>
      <c r="AW17" s="25">
        <v>405</v>
      </c>
      <c r="AX17" s="11" t="str">
        <f t="shared" si="27"/>
        <v>Добрыдин Андрей Николаевич
Голубенкова Анна Сергеевна</v>
      </c>
      <c r="AY17" s="11" t="str">
        <f t="shared" si="28"/>
        <v>Челябинск
Челябинск</v>
      </c>
      <c r="AZ17" s="11" t="str">
        <f t="shared" si="29"/>
        <v>Mitsubishi Pajero Mini</v>
      </c>
      <c r="BA17" s="15">
        <f t="shared" si="30"/>
        <v>1.7434027777777777E-3</v>
      </c>
      <c r="BB17" s="26">
        <f>VLOOKUP($AW17,TAB,45,FALSE)</f>
        <v>0</v>
      </c>
      <c r="BC17" s="26">
        <f t="shared" si="31"/>
        <v>66</v>
      </c>
      <c r="BD17" s="26">
        <f t="shared" si="32"/>
        <v>66</v>
      </c>
      <c r="BE17" s="15">
        <f t="shared" si="33"/>
        <v>3.0450231481481478E-3</v>
      </c>
      <c r="BF17" s="26">
        <f>VLOOKUP($AW17,TAB,46,FALSE)</f>
        <v>0</v>
      </c>
      <c r="BG17" s="26">
        <f t="shared" si="34"/>
        <v>69</v>
      </c>
      <c r="BH17" s="26">
        <f t="shared" si="35"/>
        <v>69</v>
      </c>
      <c r="BI17" s="15">
        <f t="shared" si="36"/>
        <v>4.3055555555555555E-3</v>
      </c>
      <c r="BJ17" s="26">
        <f>VLOOKUP($AW17,TAB,47,FALSE)</f>
        <v>80</v>
      </c>
      <c r="BK17" s="26">
        <f t="shared" si="37"/>
        <v>69</v>
      </c>
      <c r="BL17" s="26">
        <f t="shared" si="38"/>
        <v>0</v>
      </c>
      <c r="BM17" s="25">
        <v>405</v>
      </c>
      <c r="BN17" s="11" t="str">
        <f t="shared" si="39"/>
        <v>Добрыдин Андрей Николаевич
Голубенкова Анна Сергеевна</v>
      </c>
      <c r="BO17" s="11" t="str">
        <f t="shared" si="40"/>
        <v>Челябинск
Челябинск</v>
      </c>
      <c r="BP17" s="11" t="str">
        <f t="shared" si="41"/>
        <v>Mitsubishi Pajero Mini</v>
      </c>
      <c r="BQ17" s="15">
        <f>VLOOKUP($BM17,TAB,18,FALSE)</f>
        <v>1.6666666666666668E-3</v>
      </c>
      <c r="BR17" s="26">
        <f>VLOOKUP($BM17,TAB,48,FALSE)</f>
        <v>0</v>
      </c>
      <c r="BS17" s="26">
        <f t="shared" si="42"/>
        <v>72</v>
      </c>
      <c r="BT17" s="26">
        <f t="shared" si="43"/>
        <v>72</v>
      </c>
      <c r="BU17" s="15">
        <f>VLOOKUP($BM17,TAB,19,FALSE)</f>
        <v>2.0717592592592593E-3</v>
      </c>
      <c r="BV17" s="26">
        <f t="shared" si="44"/>
        <v>0</v>
      </c>
      <c r="BW17" s="26">
        <f t="shared" si="45"/>
        <v>72</v>
      </c>
      <c r="BX17" s="26">
        <f t="shared" si="46"/>
        <v>72</v>
      </c>
      <c r="BY17" s="15">
        <f>VLOOKUP($BM17,TAB,20,FALSE)</f>
        <v>2.6967592592592594E-3</v>
      </c>
      <c r="BZ17" s="26">
        <f t="shared" si="47"/>
        <v>60</v>
      </c>
      <c r="CA17" s="26">
        <f t="shared" si="48"/>
        <v>66</v>
      </c>
      <c r="CB17" s="26">
        <f t="shared" si="49"/>
        <v>6</v>
      </c>
      <c r="CC17" s="25">
        <v>405</v>
      </c>
      <c r="CD17" s="11" t="str">
        <f t="shared" si="50"/>
        <v>Добрыдин Андрей Николаевич
Голубенкова Анна Сергеевна</v>
      </c>
      <c r="CE17" s="11" t="str">
        <f t="shared" si="51"/>
        <v>Челябинск
Челябинск</v>
      </c>
      <c r="CF17" s="11" t="str">
        <f t="shared" si="52"/>
        <v>Mitsubishi Pajero Mini</v>
      </c>
      <c r="CG17" s="15">
        <f>VLOOKUP($CC17,TAB,21,FALSE)</f>
        <v>2.2126157407407411E-3</v>
      </c>
      <c r="CH17" s="26">
        <f t="shared" si="53"/>
        <v>30</v>
      </c>
      <c r="CI17" s="26">
        <f t="shared" si="54"/>
        <v>72</v>
      </c>
      <c r="CJ17" s="26">
        <f t="shared" si="55"/>
        <v>42</v>
      </c>
      <c r="CK17" s="15">
        <f>VLOOKUP($CC17,TAB,22,FALSE)</f>
        <v>0</v>
      </c>
      <c r="CL17" s="26">
        <f t="shared" si="56"/>
        <v>0</v>
      </c>
      <c r="CM17" s="26">
        <f t="shared" si="57"/>
        <v>0</v>
      </c>
      <c r="CN17" s="26">
        <f t="shared" si="58"/>
        <v>0</v>
      </c>
      <c r="CO17" s="15">
        <f>VLOOKUP($CC17,TAB,23,FALSE)</f>
        <v>0</v>
      </c>
      <c r="CP17" s="26">
        <f t="shared" si="59"/>
        <v>0</v>
      </c>
      <c r="CQ17" s="26">
        <f t="shared" si="60"/>
        <v>0</v>
      </c>
      <c r="CR17" s="26">
        <f t="shared" si="61"/>
        <v>0</v>
      </c>
      <c r="CS17" s="11">
        <f t="shared" si="62"/>
        <v>683</v>
      </c>
    </row>
    <row r="18" spans="1:97" s="6" customFormat="1" ht="60" x14ac:dyDescent="0.25">
      <c r="A18" s="25">
        <v>406</v>
      </c>
      <c r="B18" s="11" t="str">
        <f>VLOOKUP($A18,TAB,2,FALSE)</f>
        <v>Унжакова Юлия Александровна
Перьев Максим Вячеславович</v>
      </c>
      <c r="C18" s="11" t="str">
        <f>VLOOKUP($A18,TAB,4,FALSE)</f>
        <v>Снежинск
Снежинск</v>
      </c>
      <c r="D18" s="11" t="str">
        <f>VLOOKUP($A18,TAB,5,FALSE)</f>
        <v>Нива 21213</v>
      </c>
      <c r="E18" s="15" t="str">
        <f>VLOOKUP($A18,TAB,8,FALSE)</f>
        <v>DNF</v>
      </c>
      <c r="F18" s="26"/>
      <c r="G18" s="26">
        <f>VLOOKUP($A18,TAB,70,FALSE)</f>
        <v>20</v>
      </c>
      <c r="H18" s="26">
        <f>VLOOKUP($A18,TAB,101,FALSE)</f>
        <v>20</v>
      </c>
      <c r="I18" s="69"/>
      <c r="J18" s="70"/>
      <c r="K18" s="70"/>
      <c r="L18" s="70"/>
      <c r="M18" s="71"/>
      <c r="N18" s="70"/>
      <c r="O18" s="70"/>
      <c r="P18" s="70"/>
      <c r="Q18" s="25">
        <v>406</v>
      </c>
      <c r="R18" s="11" t="str">
        <f t="shared" si="0"/>
        <v>Унжакова Юлия Александровна
Перьев Максим Вячеславович</v>
      </c>
      <c r="S18" s="11" t="str">
        <f t="shared" si="1"/>
        <v>Снежинск
Снежинск</v>
      </c>
      <c r="T18" s="11" t="str">
        <f t="shared" si="2"/>
        <v>Нива 21213</v>
      </c>
      <c r="U18" s="15">
        <f t="shared" si="3"/>
        <v>0</v>
      </c>
      <c r="V18" s="26">
        <f t="shared" si="4"/>
        <v>0</v>
      </c>
      <c r="W18" s="26">
        <f t="shared" si="5"/>
        <v>0</v>
      </c>
      <c r="X18" s="26">
        <f t="shared" si="6"/>
        <v>0</v>
      </c>
      <c r="Y18" s="15">
        <f t="shared" si="7"/>
        <v>0</v>
      </c>
      <c r="Z18" s="26">
        <f t="shared" si="8"/>
        <v>0</v>
      </c>
      <c r="AA18" s="26">
        <f t="shared" si="9"/>
        <v>0</v>
      </c>
      <c r="AB18" s="26">
        <f t="shared" si="10"/>
        <v>0</v>
      </c>
      <c r="AC18" s="15">
        <f t="shared" si="11"/>
        <v>0</v>
      </c>
      <c r="AD18" s="26">
        <f t="shared" si="12"/>
        <v>0</v>
      </c>
      <c r="AE18" s="26">
        <f t="shared" si="13"/>
        <v>0</v>
      </c>
      <c r="AF18" s="26">
        <f t="shared" si="14"/>
        <v>0</v>
      </c>
      <c r="AG18" s="25">
        <v>406</v>
      </c>
      <c r="AH18" s="11" t="str">
        <f t="shared" si="15"/>
        <v>Унжакова Юлия Александровна
Перьев Максим Вячеславович</v>
      </c>
      <c r="AI18" s="11" t="str">
        <f t="shared" si="16"/>
        <v>Снежинск
Снежинск</v>
      </c>
      <c r="AJ18" s="11">
        <f t="shared" si="17"/>
        <v>0</v>
      </c>
      <c r="AK18" s="15">
        <f t="shared" si="18"/>
        <v>0</v>
      </c>
      <c r="AL18" s="26">
        <f>VLOOKUP($AG18,TAB,42,FALSE)</f>
        <v>0</v>
      </c>
      <c r="AM18" s="26">
        <f t="shared" si="19"/>
        <v>0</v>
      </c>
      <c r="AN18" s="26">
        <f t="shared" si="20"/>
        <v>0</v>
      </c>
      <c r="AO18" s="15">
        <f t="shared" si="21"/>
        <v>0</v>
      </c>
      <c r="AP18" s="26">
        <f>VLOOKUP($AG18,TAB,43,FALSE)</f>
        <v>0</v>
      </c>
      <c r="AQ18" s="26">
        <f t="shared" si="22"/>
        <v>0</v>
      </c>
      <c r="AR18" s="26">
        <f t="shared" si="23"/>
        <v>0</v>
      </c>
      <c r="AS18" s="15">
        <f t="shared" si="24"/>
        <v>0</v>
      </c>
      <c r="AT18" s="26">
        <f>VLOOKUP($AG18,TAB,44,FALSE)</f>
        <v>0</v>
      </c>
      <c r="AU18" s="26">
        <f t="shared" si="25"/>
        <v>0</v>
      </c>
      <c r="AV18" s="26">
        <f t="shared" si="26"/>
        <v>0</v>
      </c>
      <c r="AW18" s="25">
        <v>406</v>
      </c>
      <c r="AX18" s="11" t="str">
        <f t="shared" si="27"/>
        <v>Унжакова Юлия Александровна
Перьев Максим Вячеславович</v>
      </c>
      <c r="AY18" s="11" t="str">
        <f t="shared" si="28"/>
        <v>Снежинск
Снежинск</v>
      </c>
      <c r="AZ18" s="11" t="str">
        <f t="shared" si="29"/>
        <v>Нива 21213</v>
      </c>
      <c r="BA18" s="15">
        <f t="shared" si="30"/>
        <v>0</v>
      </c>
      <c r="BB18" s="26">
        <f>VLOOKUP($AW18,TAB,45,FALSE)</f>
        <v>0</v>
      </c>
      <c r="BC18" s="26">
        <f t="shared" si="31"/>
        <v>0</v>
      </c>
      <c r="BD18" s="26">
        <f t="shared" si="32"/>
        <v>0</v>
      </c>
      <c r="BE18" s="15">
        <f t="shared" si="33"/>
        <v>0</v>
      </c>
      <c r="BF18" s="26">
        <f>VLOOKUP($AW18,TAB,46,FALSE)</f>
        <v>0</v>
      </c>
      <c r="BG18" s="26">
        <f t="shared" si="34"/>
        <v>0</v>
      </c>
      <c r="BH18" s="26">
        <f t="shared" si="35"/>
        <v>0</v>
      </c>
      <c r="BI18" s="15">
        <f t="shared" si="36"/>
        <v>0</v>
      </c>
      <c r="BJ18" s="26">
        <f>VLOOKUP($AW18,TAB,47,FALSE)</f>
        <v>0</v>
      </c>
      <c r="BK18" s="26">
        <f t="shared" si="37"/>
        <v>0</v>
      </c>
      <c r="BL18" s="26">
        <f t="shared" si="38"/>
        <v>0</v>
      </c>
      <c r="BM18" s="25">
        <v>406</v>
      </c>
      <c r="BN18" s="11" t="str">
        <f t="shared" si="39"/>
        <v>Унжакова Юлия Александровна
Перьев Максим Вячеславович</v>
      </c>
      <c r="BO18" s="11" t="str">
        <f t="shared" si="40"/>
        <v>Снежинск
Снежинск</v>
      </c>
      <c r="BP18" s="11" t="str">
        <f t="shared" si="41"/>
        <v>Нива 21213</v>
      </c>
      <c r="BQ18" s="15">
        <f>VLOOKUP($BM18,TAB,18,FALSE)</f>
        <v>0</v>
      </c>
      <c r="BR18" s="26">
        <f>VLOOKUP($BM18,TAB,48,FALSE)</f>
        <v>0</v>
      </c>
      <c r="BS18" s="26">
        <f t="shared" si="42"/>
        <v>0</v>
      </c>
      <c r="BT18" s="26">
        <f t="shared" si="43"/>
        <v>0</v>
      </c>
      <c r="BU18" s="15">
        <f>VLOOKUP($BM18,TAB,19,FALSE)</f>
        <v>0</v>
      </c>
      <c r="BV18" s="26">
        <f t="shared" si="44"/>
        <v>0</v>
      </c>
      <c r="BW18" s="26">
        <f t="shared" si="45"/>
        <v>0</v>
      </c>
      <c r="BX18" s="26">
        <f t="shared" si="46"/>
        <v>0</v>
      </c>
      <c r="BY18" s="15">
        <f>VLOOKUP($BM18,TAB,20,FALSE)</f>
        <v>0</v>
      </c>
      <c r="BZ18" s="26">
        <f t="shared" si="47"/>
        <v>0</v>
      </c>
      <c r="CA18" s="26">
        <f t="shared" si="48"/>
        <v>0</v>
      </c>
      <c r="CB18" s="26">
        <f t="shared" si="49"/>
        <v>0</v>
      </c>
      <c r="CC18" s="25">
        <v>406</v>
      </c>
      <c r="CD18" s="11" t="str">
        <f t="shared" si="50"/>
        <v>Унжакова Юлия Александровна
Перьев Максим Вячеславович</v>
      </c>
      <c r="CE18" s="11" t="str">
        <f t="shared" si="51"/>
        <v>Снежинск
Снежинск</v>
      </c>
      <c r="CF18" s="11" t="str">
        <f t="shared" si="52"/>
        <v>Нива 21213</v>
      </c>
      <c r="CG18" s="15">
        <f>VLOOKUP($CC18,TAB,21,FALSE)</f>
        <v>0</v>
      </c>
      <c r="CH18" s="26">
        <f t="shared" si="53"/>
        <v>0</v>
      </c>
      <c r="CI18" s="26">
        <f t="shared" si="54"/>
        <v>0</v>
      </c>
      <c r="CJ18" s="26">
        <f t="shared" si="55"/>
        <v>0</v>
      </c>
      <c r="CK18" s="15">
        <f>VLOOKUP($CC18,TAB,22,FALSE)</f>
        <v>0</v>
      </c>
      <c r="CL18" s="26">
        <f t="shared" si="56"/>
        <v>0</v>
      </c>
      <c r="CM18" s="26">
        <f t="shared" si="57"/>
        <v>0</v>
      </c>
      <c r="CN18" s="26">
        <f t="shared" si="58"/>
        <v>0</v>
      </c>
      <c r="CO18" s="15">
        <f>VLOOKUP($CC18,TAB,23,FALSE)</f>
        <v>0</v>
      </c>
      <c r="CP18" s="26">
        <f t="shared" si="59"/>
        <v>0</v>
      </c>
      <c r="CQ18" s="26">
        <f t="shared" si="60"/>
        <v>0</v>
      </c>
      <c r="CR18" s="26">
        <f t="shared" si="61"/>
        <v>0</v>
      </c>
      <c r="CS18" s="11">
        <f t="shared" si="62"/>
        <v>20</v>
      </c>
    </row>
    <row r="19" spans="1:97" s="6" customFormat="1" ht="60" x14ac:dyDescent="0.25">
      <c r="A19" s="25">
        <v>407</v>
      </c>
      <c r="B19" s="11" t="str">
        <f>VLOOKUP($A19,TAB,2,FALSE)</f>
        <v>Шаталов Сергей Евгеньевич
Утев Денис Михайлович</v>
      </c>
      <c r="C19" s="11" t="str">
        <f>VLOOKUP($A19,TAB,4,FALSE)</f>
        <v>Челябинск
Челябинск</v>
      </c>
      <c r="D19" s="11" t="str">
        <f>VLOOKUP($A19,TAB,5,FALSE)</f>
        <v>Renault Kaleos</v>
      </c>
      <c r="E19" s="15">
        <f>VLOOKUP($A19,TAB,8,FALSE)</f>
        <v>4.0509259259259257E-3</v>
      </c>
      <c r="F19" s="26"/>
      <c r="G19" s="26">
        <f>VLOOKUP($A19,TAB,70,FALSE)</f>
        <v>54</v>
      </c>
      <c r="H19" s="26">
        <f>VLOOKUP($A19,TAB,101,FALSE)</f>
        <v>54</v>
      </c>
      <c r="I19" s="69"/>
      <c r="J19" s="70"/>
      <c r="K19" s="70"/>
      <c r="L19" s="70"/>
      <c r="M19" s="71"/>
      <c r="N19" s="70"/>
      <c r="O19" s="70"/>
      <c r="P19" s="70"/>
      <c r="Q19" s="25">
        <v>407</v>
      </c>
      <c r="R19" s="11" t="str">
        <f t="shared" si="0"/>
        <v>Шаталов Сергей Евгеньевич
Утев Денис Михайлович</v>
      </c>
      <c r="S19" s="11" t="str">
        <f t="shared" si="1"/>
        <v>Челябинск
Челябинск</v>
      </c>
      <c r="T19" s="11" t="str">
        <f t="shared" si="2"/>
        <v>Renault Kaleos</v>
      </c>
      <c r="U19" s="15">
        <f t="shared" si="3"/>
        <v>0</v>
      </c>
      <c r="V19" s="26">
        <f t="shared" si="4"/>
        <v>0</v>
      </c>
      <c r="W19" s="26">
        <f t="shared" si="5"/>
        <v>0</v>
      </c>
      <c r="X19" s="26">
        <f t="shared" si="6"/>
        <v>0</v>
      </c>
      <c r="Y19" s="15">
        <f t="shared" si="7"/>
        <v>3.6574074074074074E-3</v>
      </c>
      <c r="Z19" s="26">
        <f t="shared" si="8"/>
        <v>0</v>
      </c>
      <c r="AA19" s="26">
        <f t="shared" si="9"/>
        <v>63</v>
      </c>
      <c r="AB19" s="26">
        <f t="shared" si="10"/>
        <v>63</v>
      </c>
      <c r="AC19" s="15">
        <f t="shared" si="11"/>
        <v>4.2097222222222223E-3</v>
      </c>
      <c r="AD19" s="26">
        <f t="shared" si="12"/>
        <v>0</v>
      </c>
      <c r="AE19" s="26">
        <f t="shared" si="13"/>
        <v>58</v>
      </c>
      <c r="AF19" s="26">
        <f t="shared" si="14"/>
        <v>58</v>
      </c>
      <c r="AG19" s="25">
        <v>407</v>
      </c>
      <c r="AH19" s="11" t="str">
        <f t="shared" si="15"/>
        <v>Шаталов Сергей Евгеньевич
Утев Денис Михайлович</v>
      </c>
      <c r="AI19" s="11" t="str">
        <f t="shared" si="16"/>
        <v>Челябинск
Челябинск</v>
      </c>
      <c r="AJ19" s="11">
        <f t="shared" si="17"/>
        <v>0</v>
      </c>
      <c r="AK19" s="15">
        <f t="shared" si="18"/>
        <v>2.9282407407407412E-3</v>
      </c>
      <c r="AL19" s="26">
        <f>VLOOKUP($AG19,TAB,42,FALSE)</f>
        <v>0</v>
      </c>
      <c r="AM19" s="26">
        <f t="shared" si="19"/>
        <v>66</v>
      </c>
      <c r="AN19" s="26">
        <f t="shared" si="20"/>
        <v>66</v>
      </c>
      <c r="AO19" s="15">
        <f t="shared" si="21"/>
        <v>2.2916666666666667E-3</v>
      </c>
      <c r="AP19" s="26">
        <f>VLOOKUP($AG19,TAB,43,FALSE)</f>
        <v>10</v>
      </c>
      <c r="AQ19" s="26">
        <f t="shared" si="22"/>
        <v>63</v>
      </c>
      <c r="AR19" s="26">
        <f t="shared" si="23"/>
        <v>53</v>
      </c>
      <c r="AS19" s="15">
        <f t="shared" si="24"/>
        <v>3.0649305555555556E-3</v>
      </c>
      <c r="AT19" s="26">
        <f>VLOOKUP($AG19,TAB,44,FALSE)</f>
        <v>0</v>
      </c>
      <c r="AU19" s="26">
        <f t="shared" si="25"/>
        <v>66</v>
      </c>
      <c r="AV19" s="26">
        <f t="shared" si="26"/>
        <v>66</v>
      </c>
      <c r="AW19" s="25">
        <v>407</v>
      </c>
      <c r="AX19" s="11" t="str">
        <f t="shared" si="27"/>
        <v>Шаталов Сергей Евгеньевич
Утев Денис Михайлович</v>
      </c>
      <c r="AY19" s="11" t="str">
        <f t="shared" si="28"/>
        <v>Челябинск
Челябинск</v>
      </c>
      <c r="AZ19" s="11" t="str">
        <f t="shared" si="29"/>
        <v>Renault Kaleos</v>
      </c>
      <c r="BA19" s="15">
        <f t="shared" si="30"/>
        <v>2.3633101851851849E-3</v>
      </c>
      <c r="BB19" s="26">
        <f>VLOOKUP($AW19,TAB,45,FALSE)</f>
        <v>10</v>
      </c>
      <c r="BC19" s="26">
        <f t="shared" si="31"/>
        <v>56</v>
      </c>
      <c r="BD19" s="26">
        <f t="shared" si="32"/>
        <v>46</v>
      </c>
      <c r="BE19" s="15" t="str">
        <f t="shared" si="33"/>
        <v>DNF</v>
      </c>
      <c r="BF19" s="26">
        <f>VLOOKUP($AW19,TAB,46,FALSE)</f>
        <v>0</v>
      </c>
      <c r="BG19" s="26">
        <f t="shared" si="34"/>
        <v>20</v>
      </c>
      <c r="BH19" s="26">
        <f t="shared" si="35"/>
        <v>20</v>
      </c>
      <c r="BI19" s="15" t="str">
        <f t="shared" si="36"/>
        <v>DNF</v>
      </c>
      <c r="BJ19" s="26">
        <f>VLOOKUP($AW19,TAB,47,FALSE)</f>
        <v>0</v>
      </c>
      <c r="BK19" s="26">
        <f t="shared" si="37"/>
        <v>20</v>
      </c>
      <c r="BL19" s="26">
        <f t="shared" si="38"/>
        <v>20</v>
      </c>
      <c r="BM19" s="25">
        <v>407</v>
      </c>
      <c r="BN19" s="11" t="str">
        <f t="shared" si="39"/>
        <v>Шаталов Сергей Евгеньевич
Утев Денис Михайлович</v>
      </c>
      <c r="BO19" s="11" t="str">
        <f t="shared" si="40"/>
        <v>Челябинск
Челябинск</v>
      </c>
      <c r="BP19" s="11" t="str">
        <f t="shared" si="41"/>
        <v>Renault Kaleos</v>
      </c>
      <c r="BQ19" s="15">
        <f>VLOOKUP($BM19,TAB,18,FALSE)</f>
        <v>1.7611111111111111E-3</v>
      </c>
      <c r="BR19" s="26">
        <f>VLOOKUP($BM19,TAB,48,FALSE)</f>
        <v>0</v>
      </c>
      <c r="BS19" s="26">
        <f t="shared" si="42"/>
        <v>69</v>
      </c>
      <c r="BT19" s="26">
        <f t="shared" si="43"/>
        <v>69</v>
      </c>
      <c r="BU19" s="15" t="str">
        <f>VLOOKUP($BM19,TAB,19,FALSE)</f>
        <v>DNF</v>
      </c>
      <c r="BV19" s="26">
        <f t="shared" si="44"/>
        <v>0</v>
      </c>
      <c r="BW19" s="26">
        <f t="shared" si="45"/>
        <v>20</v>
      </c>
      <c r="BX19" s="26">
        <f t="shared" si="46"/>
        <v>20</v>
      </c>
      <c r="BY19" s="15">
        <f>VLOOKUP($BM19,TAB,20,FALSE)</f>
        <v>3.0671296296296297E-3</v>
      </c>
      <c r="BZ19" s="26">
        <f t="shared" si="47"/>
        <v>0</v>
      </c>
      <c r="CA19" s="26">
        <f t="shared" si="48"/>
        <v>60</v>
      </c>
      <c r="CB19" s="26">
        <f t="shared" si="49"/>
        <v>60</v>
      </c>
      <c r="CC19" s="25">
        <v>407</v>
      </c>
      <c r="CD19" s="11" t="str">
        <f t="shared" si="50"/>
        <v>Шаталов Сергей Евгеньевич
Утев Денис Михайлович</v>
      </c>
      <c r="CE19" s="11" t="str">
        <f t="shared" si="51"/>
        <v>Челябинск
Челябинск</v>
      </c>
      <c r="CF19" s="11" t="str">
        <f t="shared" si="52"/>
        <v>Renault Kaleos</v>
      </c>
      <c r="CG19" s="15" t="str">
        <f>VLOOKUP($CC19,TAB,21,FALSE)</f>
        <v>DNF</v>
      </c>
      <c r="CH19" s="26">
        <f t="shared" si="53"/>
        <v>0</v>
      </c>
      <c r="CI19" s="26">
        <f t="shared" si="54"/>
        <v>20</v>
      </c>
      <c r="CJ19" s="26">
        <f t="shared" si="55"/>
        <v>20</v>
      </c>
      <c r="CK19" s="15">
        <f>VLOOKUP($CC19,TAB,22,FALSE)</f>
        <v>0</v>
      </c>
      <c r="CL19" s="26">
        <f t="shared" si="56"/>
        <v>0</v>
      </c>
      <c r="CM19" s="26">
        <f t="shared" si="57"/>
        <v>0</v>
      </c>
      <c r="CN19" s="26">
        <f t="shared" si="58"/>
        <v>0</v>
      </c>
      <c r="CO19" s="15">
        <f>VLOOKUP($CC19,TAB,23,FALSE)</f>
        <v>0</v>
      </c>
      <c r="CP19" s="26">
        <f t="shared" si="59"/>
        <v>0</v>
      </c>
      <c r="CQ19" s="26">
        <f t="shared" si="60"/>
        <v>0</v>
      </c>
      <c r="CR19" s="26">
        <f t="shared" si="61"/>
        <v>0</v>
      </c>
      <c r="CS19" s="11">
        <f t="shared" si="62"/>
        <v>615</v>
      </c>
    </row>
    <row r="20" spans="1:97" s="6" customFormat="1" ht="60" x14ac:dyDescent="0.25">
      <c r="A20" s="25">
        <v>408</v>
      </c>
      <c r="B20" s="11" t="str">
        <f>VLOOKUP($A20,TAB,2,FALSE)</f>
        <v>Павлов Евгений Валерьевич
Шабашов Константин Владимирович</v>
      </c>
      <c r="C20" s="11" t="str">
        <f>VLOOKUP($A20,TAB,4,FALSE)</f>
        <v>Тверь
Челябинск</v>
      </c>
      <c r="D20" s="11" t="str">
        <f>VLOOKUP($A20,TAB,5,FALSE)</f>
        <v>УАЗ Патриот</v>
      </c>
      <c r="E20" s="15">
        <f>VLOOKUP($A20,TAB,8,FALSE)</f>
        <v>3.2523148148148151E-3</v>
      </c>
      <c r="F20" s="26"/>
      <c r="G20" s="26">
        <f>VLOOKUP($A20,TAB,70,FALSE)</f>
        <v>75</v>
      </c>
      <c r="H20" s="26">
        <f>VLOOKUP($A20,TAB,101,FALSE)</f>
        <v>75</v>
      </c>
      <c r="I20" s="69"/>
      <c r="J20" s="70"/>
      <c r="K20" s="70"/>
      <c r="L20" s="70"/>
      <c r="M20" s="71"/>
      <c r="N20" s="70"/>
      <c r="O20" s="70"/>
      <c r="P20" s="70"/>
      <c r="Q20" s="25">
        <v>408</v>
      </c>
      <c r="R20" s="11" t="str">
        <f t="shared" si="0"/>
        <v>Павлов Евгений Валерьевич
Шабашов Константин Владимирович</v>
      </c>
      <c r="S20" s="11" t="str">
        <f t="shared" si="1"/>
        <v>Тверь
Челябинск</v>
      </c>
      <c r="T20" s="11" t="str">
        <f t="shared" si="2"/>
        <v>УАЗ Патриот</v>
      </c>
      <c r="U20" s="15">
        <f t="shared" si="3"/>
        <v>0</v>
      </c>
      <c r="V20" s="26">
        <f t="shared" si="4"/>
        <v>0</v>
      </c>
      <c r="W20" s="26">
        <f t="shared" si="5"/>
        <v>0</v>
      </c>
      <c r="X20" s="26">
        <f t="shared" si="6"/>
        <v>0</v>
      </c>
      <c r="Y20" s="15">
        <f t="shared" si="7"/>
        <v>2.7662037037037034E-3</v>
      </c>
      <c r="Z20" s="26">
        <f t="shared" si="8"/>
        <v>0</v>
      </c>
      <c r="AA20" s="26">
        <f t="shared" si="9"/>
        <v>87</v>
      </c>
      <c r="AB20" s="26">
        <f t="shared" si="10"/>
        <v>87</v>
      </c>
      <c r="AC20" s="15">
        <f t="shared" si="11"/>
        <v>2.0564814814814816E-3</v>
      </c>
      <c r="AD20" s="26">
        <f t="shared" si="12"/>
        <v>0</v>
      </c>
      <c r="AE20" s="26">
        <f t="shared" si="13"/>
        <v>78</v>
      </c>
      <c r="AF20" s="26">
        <f t="shared" si="14"/>
        <v>78</v>
      </c>
      <c r="AG20" s="25">
        <v>408</v>
      </c>
      <c r="AH20" s="11" t="str">
        <f t="shared" si="15"/>
        <v>Павлов Евгений Валерьевич
Шабашов Константин Владимирович</v>
      </c>
      <c r="AI20" s="11" t="str">
        <f t="shared" si="16"/>
        <v>Тверь
Челябинск</v>
      </c>
      <c r="AJ20" s="11">
        <f t="shared" si="17"/>
        <v>0</v>
      </c>
      <c r="AK20" s="15">
        <f t="shared" si="18"/>
        <v>1.9675925925925928E-3</v>
      </c>
      <c r="AL20" s="26">
        <f>VLOOKUP($AG20,TAB,42,FALSE)</f>
        <v>0</v>
      </c>
      <c r="AM20" s="26">
        <f t="shared" si="19"/>
        <v>87</v>
      </c>
      <c r="AN20" s="26">
        <f t="shared" si="20"/>
        <v>87</v>
      </c>
      <c r="AO20" s="15">
        <f t="shared" si="21"/>
        <v>1.4699074074074074E-3</v>
      </c>
      <c r="AP20" s="26">
        <f>VLOOKUP($AG20,TAB,43,FALSE)</f>
        <v>0</v>
      </c>
      <c r="AQ20" s="26">
        <f t="shared" si="22"/>
        <v>100</v>
      </c>
      <c r="AR20" s="26">
        <f t="shared" si="23"/>
        <v>100</v>
      </c>
      <c r="AS20" s="15">
        <f t="shared" si="24"/>
        <v>2.0210648148148149E-3</v>
      </c>
      <c r="AT20" s="26">
        <f>VLOOKUP($AG20,TAB,44,FALSE)</f>
        <v>0</v>
      </c>
      <c r="AU20" s="26">
        <f t="shared" si="25"/>
        <v>78</v>
      </c>
      <c r="AV20" s="26">
        <f t="shared" si="26"/>
        <v>78</v>
      </c>
      <c r="AW20" s="25">
        <v>408</v>
      </c>
      <c r="AX20" s="11" t="str">
        <f t="shared" si="27"/>
        <v>Павлов Евгений Валерьевич
Шабашов Константин Владимирович</v>
      </c>
      <c r="AY20" s="11" t="str">
        <f t="shared" si="28"/>
        <v>Тверь
Челябинск</v>
      </c>
      <c r="AZ20" s="11" t="str">
        <f t="shared" si="29"/>
        <v>УАЗ Патриот</v>
      </c>
      <c r="BA20" s="15">
        <f t="shared" si="30"/>
        <v>7.8611111111111113E-4</v>
      </c>
      <c r="BB20" s="26">
        <f>VLOOKUP($AW20,TAB,45,FALSE)</f>
        <v>0</v>
      </c>
      <c r="BC20" s="26">
        <f t="shared" si="31"/>
        <v>100</v>
      </c>
      <c r="BD20" s="26">
        <f t="shared" si="32"/>
        <v>100</v>
      </c>
      <c r="BE20" s="15">
        <f t="shared" si="33"/>
        <v>1.1284722222222223E-3</v>
      </c>
      <c r="BF20" s="26">
        <f>VLOOKUP($AW20,TAB,46,FALSE)</f>
        <v>0</v>
      </c>
      <c r="BG20" s="26">
        <f t="shared" si="34"/>
        <v>100</v>
      </c>
      <c r="BH20" s="26">
        <f t="shared" si="35"/>
        <v>100</v>
      </c>
      <c r="BI20" s="15">
        <f t="shared" si="36"/>
        <v>2.9629629629629628E-3</v>
      </c>
      <c r="BJ20" s="26">
        <f>VLOOKUP($AW20,TAB,47,FALSE)</f>
        <v>30</v>
      </c>
      <c r="BK20" s="26">
        <f t="shared" si="37"/>
        <v>100</v>
      </c>
      <c r="BL20" s="26">
        <f t="shared" si="38"/>
        <v>70</v>
      </c>
      <c r="BM20" s="25">
        <v>408</v>
      </c>
      <c r="BN20" s="11" t="str">
        <f t="shared" si="39"/>
        <v>Павлов Евгений Валерьевич
Шабашов Константин Владимирович</v>
      </c>
      <c r="BO20" s="11" t="str">
        <f t="shared" si="40"/>
        <v>Тверь
Челябинск</v>
      </c>
      <c r="BP20" s="11" t="str">
        <f t="shared" si="41"/>
        <v>УАЗ Патриот</v>
      </c>
      <c r="BQ20" s="15">
        <f>VLOOKUP($BM20,TAB,18,FALSE)</f>
        <v>1.0300925925925926E-3</v>
      </c>
      <c r="BR20" s="26">
        <f>VLOOKUP($BM20,TAB,48,FALSE)</f>
        <v>0</v>
      </c>
      <c r="BS20" s="26">
        <f t="shared" si="42"/>
        <v>95</v>
      </c>
      <c r="BT20" s="26">
        <f t="shared" si="43"/>
        <v>95</v>
      </c>
      <c r="BU20" s="15">
        <f>VLOOKUP($BM20,TAB,19,FALSE)</f>
        <v>1.3194444444444443E-3</v>
      </c>
      <c r="BV20" s="26">
        <f t="shared" si="44"/>
        <v>0</v>
      </c>
      <c r="BW20" s="26">
        <f t="shared" si="45"/>
        <v>100</v>
      </c>
      <c r="BX20" s="26">
        <f t="shared" si="46"/>
        <v>100</v>
      </c>
      <c r="BY20" s="15">
        <f>VLOOKUP($BM20,TAB,20,FALSE)</f>
        <v>1.8865740740740742E-3</v>
      </c>
      <c r="BZ20" s="26">
        <f t="shared" si="47"/>
        <v>0</v>
      </c>
      <c r="CA20" s="26">
        <f t="shared" si="48"/>
        <v>100</v>
      </c>
      <c r="CB20" s="26">
        <f t="shared" si="49"/>
        <v>100</v>
      </c>
      <c r="CC20" s="25">
        <v>408</v>
      </c>
      <c r="CD20" s="11" t="str">
        <f t="shared" si="50"/>
        <v>Павлов Евгений Валерьевич
Шабашов Константин Владимирович</v>
      </c>
      <c r="CE20" s="11" t="str">
        <f t="shared" si="51"/>
        <v>Тверь
Челябинск</v>
      </c>
      <c r="CF20" s="11" t="str">
        <f t="shared" si="52"/>
        <v>УАЗ Патриот</v>
      </c>
      <c r="CG20" s="15">
        <f>VLOOKUP($CC20,TAB,21,FALSE)</f>
        <v>1.5252314814814816E-3</v>
      </c>
      <c r="CH20" s="26">
        <f t="shared" si="53"/>
        <v>0</v>
      </c>
      <c r="CI20" s="26">
        <f t="shared" si="54"/>
        <v>100</v>
      </c>
      <c r="CJ20" s="26">
        <f t="shared" si="55"/>
        <v>100</v>
      </c>
      <c r="CK20" s="15">
        <f>VLOOKUP($CC20,TAB,22,FALSE)</f>
        <v>0</v>
      </c>
      <c r="CL20" s="26">
        <f t="shared" si="56"/>
        <v>0</v>
      </c>
      <c r="CM20" s="26">
        <f t="shared" si="57"/>
        <v>0</v>
      </c>
      <c r="CN20" s="26">
        <f t="shared" si="58"/>
        <v>0</v>
      </c>
      <c r="CO20" s="15">
        <f>VLOOKUP($CC20,TAB,23,FALSE)</f>
        <v>0</v>
      </c>
      <c r="CP20" s="26">
        <f t="shared" si="59"/>
        <v>0</v>
      </c>
      <c r="CQ20" s="26">
        <f t="shared" si="60"/>
        <v>0</v>
      </c>
      <c r="CR20" s="26">
        <f t="shared" si="61"/>
        <v>0</v>
      </c>
      <c r="CS20" s="11">
        <f t="shared" si="62"/>
        <v>1170</v>
      </c>
    </row>
    <row r="21" spans="1:97" s="6" customFormat="1" ht="60" x14ac:dyDescent="0.25">
      <c r="A21" s="25">
        <v>409</v>
      </c>
      <c r="B21" s="11" t="str">
        <f>VLOOKUP($A21,TAB,2,FALSE)</f>
        <v>Курманов Сергей Валерьевич
Жуламанов Вадим Валеевич</v>
      </c>
      <c r="C21" s="11" t="str">
        <f>VLOOKUP($A21,TAB,4,FALSE)</f>
        <v>Троицк
Троицк</v>
      </c>
      <c r="D21" s="11" t="str">
        <f>VLOOKUP($A21,TAB,5,FALSE)</f>
        <v>ВАЗ 21214М</v>
      </c>
      <c r="E21" s="15">
        <f>VLOOKUP($A21,TAB,8,FALSE)</f>
        <v>2.5462962962962961E-3</v>
      </c>
      <c r="F21" s="26"/>
      <c r="G21" s="26">
        <f>VLOOKUP($A21,TAB,70,FALSE)</f>
        <v>95</v>
      </c>
      <c r="H21" s="26">
        <f>VLOOKUP($A21,TAB,101,FALSE)</f>
        <v>95</v>
      </c>
      <c r="I21" s="69"/>
      <c r="J21" s="70"/>
      <c r="K21" s="70"/>
      <c r="L21" s="70"/>
      <c r="M21" s="71"/>
      <c r="N21" s="70"/>
      <c r="O21" s="70"/>
      <c r="P21" s="70"/>
      <c r="Q21" s="25">
        <v>409</v>
      </c>
      <c r="R21" s="11" t="str">
        <f t="shared" si="0"/>
        <v>Курманов Сергей Валерьевич
Жуламанов Вадим Валеевич</v>
      </c>
      <c r="S21" s="11" t="str">
        <f t="shared" si="1"/>
        <v>Троицк
Троицк</v>
      </c>
      <c r="T21" s="11" t="str">
        <f t="shared" si="2"/>
        <v>ВАЗ 21214М</v>
      </c>
      <c r="U21" s="15">
        <f t="shared" si="3"/>
        <v>0</v>
      </c>
      <c r="V21" s="26">
        <f t="shared" si="4"/>
        <v>0</v>
      </c>
      <c r="W21" s="26">
        <f t="shared" si="5"/>
        <v>0</v>
      </c>
      <c r="X21" s="26">
        <f t="shared" si="6"/>
        <v>0</v>
      </c>
      <c r="Y21" s="15">
        <f t="shared" si="7"/>
        <v>2.7777777777777779E-3</v>
      </c>
      <c r="Z21" s="26">
        <f t="shared" si="8"/>
        <v>0</v>
      </c>
      <c r="AA21" s="26">
        <f t="shared" si="9"/>
        <v>84</v>
      </c>
      <c r="AB21" s="26">
        <f t="shared" si="10"/>
        <v>84</v>
      </c>
      <c r="AC21" s="15" t="str">
        <f t="shared" si="11"/>
        <v>DNF</v>
      </c>
      <c r="AD21" s="26">
        <f t="shared" si="12"/>
        <v>0</v>
      </c>
      <c r="AE21" s="26">
        <f t="shared" si="13"/>
        <v>20</v>
      </c>
      <c r="AF21" s="26">
        <f t="shared" si="14"/>
        <v>20</v>
      </c>
      <c r="AG21" s="25">
        <v>409</v>
      </c>
      <c r="AH21" s="11" t="str">
        <f t="shared" si="15"/>
        <v>Курманов Сергей Валерьевич
Жуламанов Вадим Валеевич</v>
      </c>
      <c r="AI21" s="11" t="str">
        <f t="shared" si="16"/>
        <v>Троицк
Троицк</v>
      </c>
      <c r="AJ21" s="11" t="str">
        <f t="shared" si="17"/>
        <v>171301</v>
      </c>
      <c r="AK21" s="15">
        <f t="shared" si="18"/>
        <v>2.3148148148148151E-3</v>
      </c>
      <c r="AL21" s="26">
        <f>VLOOKUP($AG21,TAB,42,FALSE)</f>
        <v>0</v>
      </c>
      <c r="AM21" s="26">
        <f t="shared" si="19"/>
        <v>81</v>
      </c>
      <c r="AN21" s="26">
        <f t="shared" si="20"/>
        <v>81</v>
      </c>
      <c r="AO21" s="15">
        <f t="shared" si="21"/>
        <v>0</v>
      </c>
      <c r="AP21" s="26">
        <f>VLOOKUP($AG21,TAB,43,FALSE)</f>
        <v>0</v>
      </c>
      <c r="AQ21" s="26">
        <f t="shared" si="22"/>
        <v>0</v>
      </c>
      <c r="AR21" s="26">
        <f t="shared" si="23"/>
        <v>0</v>
      </c>
      <c r="AS21" s="15">
        <f t="shared" si="24"/>
        <v>1.3625E-3</v>
      </c>
      <c r="AT21" s="26">
        <f>VLOOKUP($AG21,TAB,44,FALSE)</f>
        <v>0</v>
      </c>
      <c r="AU21" s="26">
        <f t="shared" si="25"/>
        <v>100</v>
      </c>
      <c r="AV21" s="26">
        <f t="shared" si="26"/>
        <v>100</v>
      </c>
      <c r="AW21" s="25">
        <v>409</v>
      </c>
      <c r="AX21" s="11" t="str">
        <f t="shared" si="27"/>
        <v>Курманов Сергей Валерьевич
Жуламанов Вадим Валеевич</v>
      </c>
      <c r="AY21" s="11" t="str">
        <f t="shared" si="28"/>
        <v>Троицк
Троицк</v>
      </c>
      <c r="AZ21" s="11" t="str">
        <f t="shared" si="29"/>
        <v>ВАЗ 21214М</v>
      </c>
      <c r="BA21" s="15">
        <f t="shared" si="30"/>
        <v>0</v>
      </c>
      <c r="BB21" s="26">
        <f>VLOOKUP($AW21,TAB,45,FALSE)</f>
        <v>0</v>
      </c>
      <c r="BC21" s="26">
        <f t="shared" si="31"/>
        <v>0</v>
      </c>
      <c r="BD21" s="26">
        <f t="shared" si="32"/>
        <v>0</v>
      </c>
      <c r="BE21" s="15">
        <f t="shared" si="33"/>
        <v>0</v>
      </c>
      <c r="BF21" s="26">
        <f>VLOOKUP($AW21,TAB,46,FALSE)</f>
        <v>0</v>
      </c>
      <c r="BG21" s="26">
        <f t="shared" si="34"/>
        <v>0</v>
      </c>
      <c r="BH21" s="26">
        <f t="shared" si="35"/>
        <v>0</v>
      </c>
      <c r="BI21" s="15">
        <f t="shared" si="36"/>
        <v>3.2060185185185191E-3</v>
      </c>
      <c r="BJ21" s="26">
        <f>VLOOKUP($AW21,TAB,47,FALSE)</f>
        <v>50</v>
      </c>
      <c r="BK21" s="26">
        <f t="shared" si="37"/>
        <v>87</v>
      </c>
      <c r="BL21" s="26">
        <f t="shared" si="38"/>
        <v>37</v>
      </c>
      <c r="BM21" s="25">
        <v>409</v>
      </c>
      <c r="BN21" s="11" t="str">
        <f t="shared" si="39"/>
        <v>Курманов Сергей Валерьевич
Жуламанов Вадим Валеевич</v>
      </c>
      <c r="BO21" s="11" t="str">
        <f t="shared" si="40"/>
        <v>Троицк
Троицк</v>
      </c>
      <c r="BP21" s="11" t="str">
        <f t="shared" si="41"/>
        <v>ВАЗ 21214М</v>
      </c>
      <c r="BQ21" s="15">
        <f>VLOOKUP($BM21,TAB,18,FALSE)</f>
        <v>1.2731481481481483E-3</v>
      </c>
      <c r="BR21" s="26">
        <f>VLOOKUP($BM21,TAB,48,FALSE)</f>
        <v>0</v>
      </c>
      <c r="BS21" s="26">
        <f t="shared" si="42"/>
        <v>87</v>
      </c>
      <c r="BT21" s="26">
        <f t="shared" si="43"/>
        <v>87</v>
      </c>
      <c r="BU21" s="15">
        <f>VLOOKUP($BM21,TAB,19,FALSE)</f>
        <v>0</v>
      </c>
      <c r="BV21" s="26">
        <f t="shared" si="44"/>
        <v>0</v>
      </c>
      <c r="BW21" s="26">
        <f t="shared" si="45"/>
        <v>0</v>
      </c>
      <c r="BX21" s="26">
        <f t="shared" si="46"/>
        <v>0</v>
      </c>
      <c r="BY21" s="15">
        <f>VLOOKUP($BM21,TAB,20,FALSE)</f>
        <v>0</v>
      </c>
      <c r="BZ21" s="26">
        <f t="shared" si="47"/>
        <v>0</v>
      </c>
      <c r="CA21" s="26">
        <f t="shared" si="48"/>
        <v>0</v>
      </c>
      <c r="CB21" s="26">
        <f t="shared" si="49"/>
        <v>0</v>
      </c>
      <c r="CC21" s="25">
        <v>409</v>
      </c>
      <c r="CD21" s="11" t="str">
        <f t="shared" si="50"/>
        <v>Курманов Сергей Валерьевич
Жуламанов Вадим Валеевич</v>
      </c>
      <c r="CE21" s="11" t="str">
        <f t="shared" si="51"/>
        <v>Троицк
Троицк</v>
      </c>
      <c r="CF21" s="11" t="str">
        <f t="shared" si="52"/>
        <v>ВАЗ 21214М</v>
      </c>
      <c r="CG21" s="15">
        <f>VLOOKUP($CC21,TAB,21,FALSE)</f>
        <v>0</v>
      </c>
      <c r="CH21" s="26">
        <f t="shared" si="53"/>
        <v>0</v>
      </c>
      <c r="CI21" s="26">
        <f t="shared" si="54"/>
        <v>0</v>
      </c>
      <c r="CJ21" s="26">
        <f t="shared" si="55"/>
        <v>0</v>
      </c>
      <c r="CK21" s="15">
        <f>VLOOKUP($CC21,TAB,22,FALSE)</f>
        <v>0</v>
      </c>
      <c r="CL21" s="26">
        <f t="shared" si="56"/>
        <v>0</v>
      </c>
      <c r="CM21" s="26">
        <f t="shared" si="57"/>
        <v>0</v>
      </c>
      <c r="CN21" s="26">
        <f t="shared" si="58"/>
        <v>0</v>
      </c>
      <c r="CO21" s="15">
        <f>VLOOKUP($CC21,TAB,23,FALSE)</f>
        <v>0</v>
      </c>
      <c r="CP21" s="26">
        <f t="shared" si="59"/>
        <v>0</v>
      </c>
      <c r="CQ21" s="26">
        <f t="shared" si="60"/>
        <v>0</v>
      </c>
      <c r="CR21" s="26">
        <f t="shared" si="61"/>
        <v>0</v>
      </c>
      <c r="CS21" s="11">
        <f t="shared" si="62"/>
        <v>504</v>
      </c>
    </row>
    <row r="22" spans="1:97" s="6" customFormat="1" ht="60" x14ac:dyDescent="0.25">
      <c r="A22" s="25">
        <v>410</v>
      </c>
      <c r="B22" s="11" t="str">
        <f>VLOOKUP($A22,TAB,2,FALSE)</f>
        <v>Горобец Владимир Валерьевич
Горобец Жанна Валентиновна</v>
      </c>
      <c r="C22" s="11" t="str">
        <f>VLOOKUP($A22,TAB,4,FALSE)</f>
        <v>Челябинск
Челябинск</v>
      </c>
      <c r="D22" s="11" t="str">
        <f>VLOOKUP($A22,TAB,5,FALSE)</f>
        <v>ГрейтВолл Ховер3</v>
      </c>
      <c r="E22" s="15">
        <f>VLOOKUP($A22,TAB,8,FALSE)</f>
        <v>2.9861111111111113E-3</v>
      </c>
      <c r="F22" s="26"/>
      <c r="G22" s="26">
        <f>VLOOKUP($A22,TAB,70,FALSE)</f>
        <v>87</v>
      </c>
      <c r="H22" s="26">
        <f>VLOOKUP($A22,TAB,101,FALSE)</f>
        <v>87</v>
      </c>
      <c r="I22" s="69"/>
      <c r="J22" s="70"/>
      <c r="K22" s="70"/>
      <c r="L22" s="70"/>
      <c r="M22" s="71"/>
      <c r="N22" s="70"/>
      <c r="O22" s="70"/>
      <c r="P22" s="70"/>
      <c r="Q22" s="25">
        <v>410</v>
      </c>
      <c r="R22" s="11" t="str">
        <f t="shared" si="0"/>
        <v>Горобец Владимир Валерьевич
Горобец Жанна Валентиновна</v>
      </c>
      <c r="S22" s="11" t="str">
        <f t="shared" si="1"/>
        <v>Челябинск
Челябинск</v>
      </c>
      <c r="T22" s="11" t="str">
        <f t="shared" si="2"/>
        <v>ГрейтВолл Ховер3</v>
      </c>
      <c r="U22" s="15">
        <f t="shared" si="3"/>
        <v>0</v>
      </c>
      <c r="V22" s="26">
        <f t="shared" si="4"/>
        <v>0</v>
      </c>
      <c r="W22" s="26">
        <f t="shared" si="5"/>
        <v>0</v>
      </c>
      <c r="X22" s="26">
        <f t="shared" si="6"/>
        <v>0</v>
      </c>
      <c r="Y22" s="15">
        <f t="shared" si="7"/>
        <v>3.8078703703703707E-3</v>
      </c>
      <c r="Z22" s="26">
        <f t="shared" si="8"/>
        <v>0</v>
      </c>
      <c r="AA22" s="26">
        <f t="shared" si="9"/>
        <v>60</v>
      </c>
      <c r="AB22" s="26">
        <f t="shared" si="10"/>
        <v>60</v>
      </c>
      <c r="AC22" s="15">
        <f t="shared" si="11"/>
        <v>4.9443287037037034E-3</v>
      </c>
      <c r="AD22" s="26">
        <f t="shared" si="12"/>
        <v>0</v>
      </c>
      <c r="AE22" s="26">
        <f t="shared" si="13"/>
        <v>56</v>
      </c>
      <c r="AF22" s="26">
        <f t="shared" si="14"/>
        <v>56</v>
      </c>
      <c r="AG22" s="25">
        <v>410</v>
      </c>
      <c r="AH22" s="11" t="str">
        <f t="shared" si="15"/>
        <v>Горобец Владимир Валерьевич
Горобец Жанна Валентиновна</v>
      </c>
      <c r="AI22" s="11" t="str">
        <f t="shared" si="16"/>
        <v>Челябинск
Челябинск</v>
      </c>
      <c r="AJ22" s="11">
        <f t="shared" si="17"/>
        <v>0</v>
      </c>
      <c r="AK22" s="15">
        <f t="shared" si="18"/>
        <v>2.7430555555555559E-3</v>
      </c>
      <c r="AL22" s="26">
        <f>VLOOKUP($AG22,TAB,42,FALSE)</f>
        <v>0</v>
      </c>
      <c r="AM22" s="26">
        <f t="shared" si="19"/>
        <v>72</v>
      </c>
      <c r="AN22" s="26">
        <f t="shared" si="20"/>
        <v>72</v>
      </c>
      <c r="AO22" s="15">
        <f t="shared" si="21"/>
        <v>2.5925925925925925E-3</v>
      </c>
      <c r="AP22" s="26">
        <f>VLOOKUP($AG22,TAB,43,FALSE)</f>
        <v>10</v>
      </c>
      <c r="AQ22" s="26">
        <f t="shared" si="22"/>
        <v>58</v>
      </c>
      <c r="AR22" s="26">
        <f t="shared" si="23"/>
        <v>48</v>
      </c>
      <c r="AS22" s="15">
        <f t="shared" si="24"/>
        <v>2.8703703703703708E-3</v>
      </c>
      <c r="AT22" s="26">
        <f>VLOOKUP($AG22,TAB,44,FALSE)</f>
        <v>0</v>
      </c>
      <c r="AU22" s="26">
        <f t="shared" si="25"/>
        <v>69</v>
      </c>
      <c r="AV22" s="26">
        <f t="shared" si="26"/>
        <v>69</v>
      </c>
      <c r="AW22" s="25">
        <v>410</v>
      </c>
      <c r="AX22" s="11" t="str">
        <f t="shared" si="27"/>
        <v>Горобец Владимир Валерьевич
Горобец Жанна Валентиновна</v>
      </c>
      <c r="AY22" s="11" t="str">
        <f t="shared" si="28"/>
        <v>Челябинск
Челябинск</v>
      </c>
      <c r="AZ22" s="11" t="str">
        <f t="shared" si="29"/>
        <v>ГрейтВолл Ховер3</v>
      </c>
      <c r="BA22" s="15">
        <f t="shared" si="30"/>
        <v>1.6406249999999999E-3</v>
      </c>
      <c r="BB22" s="26">
        <f>VLOOKUP($AW22,TAB,45,FALSE)</f>
        <v>0</v>
      </c>
      <c r="BC22" s="26">
        <f t="shared" si="31"/>
        <v>69</v>
      </c>
      <c r="BD22" s="26">
        <f t="shared" si="32"/>
        <v>69</v>
      </c>
      <c r="BE22" s="15">
        <f t="shared" si="33"/>
        <v>2.6615740740740736E-3</v>
      </c>
      <c r="BF22" s="26">
        <f>VLOOKUP($AW22,TAB,46,FALSE)</f>
        <v>0</v>
      </c>
      <c r="BG22" s="26">
        <f t="shared" si="34"/>
        <v>78</v>
      </c>
      <c r="BH22" s="26">
        <f t="shared" si="35"/>
        <v>78</v>
      </c>
      <c r="BI22" s="15">
        <f t="shared" si="36"/>
        <v>3.8425925925925923E-3</v>
      </c>
      <c r="BJ22" s="26">
        <f>VLOOKUP($AW22,TAB,47,FALSE)</f>
        <v>0</v>
      </c>
      <c r="BK22" s="26">
        <f t="shared" si="37"/>
        <v>81</v>
      </c>
      <c r="BL22" s="26">
        <f t="shared" si="38"/>
        <v>81</v>
      </c>
      <c r="BM22" s="25">
        <v>410</v>
      </c>
      <c r="BN22" s="11" t="str">
        <f t="shared" si="39"/>
        <v>Горобец Владимир Валерьевич
Горобец Жанна Валентиновна</v>
      </c>
      <c r="BO22" s="11" t="str">
        <f t="shared" si="40"/>
        <v>Челябинск
Челябинск</v>
      </c>
      <c r="BP22" s="11" t="str">
        <f t="shared" si="41"/>
        <v>ГрейтВолл Ховер3</v>
      </c>
      <c r="BQ22" s="15">
        <f>VLOOKUP($BM22,TAB,18,FALSE)</f>
        <v>2.0254629629629629E-3</v>
      </c>
      <c r="BR22" s="26">
        <f>VLOOKUP($BM22,TAB,48,FALSE)</f>
        <v>0</v>
      </c>
      <c r="BS22" s="26">
        <f t="shared" si="42"/>
        <v>58</v>
      </c>
      <c r="BT22" s="26">
        <f t="shared" si="43"/>
        <v>58</v>
      </c>
      <c r="BU22" s="15">
        <f>VLOOKUP($BM22,TAB,19,FALSE)</f>
        <v>2.8703703703703708E-3</v>
      </c>
      <c r="BV22" s="26">
        <f t="shared" si="44"/>
        <v>0</v>
      </c>
      <c r="BW22" s="26">
        <f t="shared" si="45"/>
        <v>58</v>
      </c>
      <c r="BX22" s="26">
        <f t="shared" si="46"/>
        <v>58</v>
      </c>
      <c r="BY22" s="15">
        <f>VLOOKUP($BM22,TAB,20,FALSE)</f>
        <v>3.5069444444444445E-3</v>
      </c>
      <c r="BZ22" s="26">
        <f t="shared" si="47"/>
        <v>0</v>
      </c>
      <c r="CA22" s="26">
        <f t="shared" si="48"/>
        <v>56</v>
      </c>
      <c r="CB22" s="26">
        <f t="shared" si="49"/>
        <v>56</v>
      </c>
      <c r="CC22" s="25">
        <v>410</v>
      </c>
      <c r="CD22" s="11" t="str">
        <f t="shared" si="50"/>
        <v>Горобец Владимир Валерьевич
Горобец Жанна Валентиновна</v>
      </c>
      <c r="CE22" s="11" t="str">
        <f t="shared" si="51"/>
        <v>Челябинск
Челябинск</v>
      </c>
      <c r="CF22" s="11" t="str">
        <f t="shared" si="52"/>
        <v>ГрейтВолл Ховер3</v>
      </c>
      <c r="CG22" s="15">
        <f>VLOOKUP($CC22,TAB,21,FALSE)</f>
        <v>2.5245370370370374E-3</v>
      </c>
      <c r="CH22" s="26">
        <f t="shared" si="53"/>
        <v>0</v>
      </c>
      <c r="CI22" s="26">
        <f t="shared" si="54"/>
        <v>69</v>
      </c>
      <c r="CJ22" s="26">
        <f t="shared" si="55"/>
        <v>69</v>
      </c>
      <c r="CK22" s="15">
        <f>VLOOKUP($CC22,TAB,22,FALSE)</f>
        <v>0</v>
      </c>
      <c r="CL22" s="26">
        <f t="shared" si="56"/>
        <v>0</v>
      </c>
      <c r="CM22" s="26">
        <f t="shared" si="57"/>
        <v>0</v>
      </c>
      <c r="CN22" s="26">
        <f t="shared" si="58"/>
        <v>0</v>
      </c>
      <c r="CO22" s="15">
        <f>VLOOKUP($CC22,TAB,23,FALSE)</f>
        <v>0</v>
      </c>
      <c r="CP22" s="26">
        <f t="shared" si="59"/>
        <v>0</v>
      </c>
      <c r="CQ22" s="26">
        <f t="shared" si="60"/>
        <v>0</v>
      </c>
      <c r="CR22" s="26">
        <f t="shared" si="61"/>
        <v>0</v>
      </c>
      <c r="CS22" s="11">
        <f t="shared" si="62"/>
        <v>861</v>
      </c>
    </row>
    <row r="23" spans="1:97" s="6" customFormat="1" ht="60" x14ac:dyDescent="0.25">
      <c r="A23" s="25">
        <v>411</v>
      </c>
      <c r="B23" s="11" t="str">
        <f>VLOOKUP($A23,TAB,2,FALSE)</f>
        <v>Юков Роман Александрович
Шнейдер Артем Александрович</v>
      </c>
      <c r="C23" s="11" t="str">
        <f>VLOOKUP($A23,TAB,4,FALSE)</f>
        <v>Куртамыш
Куртамыш</v>
      </c>
      <c r="D23" s="11" t="str">
        <f>VLOOKUP($A23,TAB,5,FALSE)</f>
        <v>Нива 21213</v>
      </c>
      <c r="E23" s="15">
        <f>VLOOKUP($A23,TAB,8,FALSE)</f>
        <v>3.3101851851851851E-3</v>
      </c>
      <c r="F23" s="26"/>
      <c r="G23" s="26">
        <f>VLOOKUP($A23,TAB,70,FALSE)</f>
        <v>66</v>
      </c>
      <c r="H23" s="26">
        <f>VLOOKUP($A23,TAB,101,FALSE)</f>
        <v>66</v>
      </c>
      <c r="I23" s="69"/>
      <c r="J23" s="70"/>
      <c r="K23" s="70"/>
      <c r="L23" s="70"/>
      <c r="M23" s="71"/>
      <c r="N23" s="70"/>
      <c r="O23" s="70"/>
      <c r="P23" s="70"/>
      <c r="Q23" s="25">
        <v>411</v>
      </c>
      <c r="R23" s="11" t="str">
        <f t="shared" si="0"/>
        <v>Юков Роман Александрович
Шнейдер Артем Александрович</v>
      </c>
      <c r="S23" s="11" t="str">
        <f t="shared" si="1"/>
        <v>Куртамыш
Куртамыш</v>
      </c>
      <c r="T23" s="11" t="str">
        <f t="shared" si="2"/>
        <v>Нива 21213</v>
      </c>
      <c r="U23" s="15">
        <f t="shared" si="3"/>
        <v>0</v>
      </c>
      <c r="V23" s="26">
        <f t="shared" si="4"/>
        <v>0</v>
      </c>
      <c r="W23" s="26">
        <f t="shared" si="5"/>
        <v>0</v>
      </c>
      <c r="X23" s="26">
        <f t="shared" si="6"/>
        <v>0</v>
      </c>
      <c r="Y23" s="15">
        <f t="shared" si="7"/>
        <v>3.1481481481481482E-3</v>
      </c>
      <c r="Z23" s="26">
        <f t="shared" si="8"/>
        <v>0</v>
      </c>
      <c r="AA23" s="26">
        <f t="shared" si="9"/>
        <v>75</v>
      </c>
      <c r="AB23" s="26">
        <f t="shared" si="10"/>
        <v>75</v>
      </c>
      <c r="AC23" s="15">
        <f t="shared" si="11"/>
        <v>1.5274305555555555E-3</v>
      </c>
      <c r="AD23" s="26">
        <f t="shared" si="12"/>
        <v>0</v>
      </c>
      <c r="AE23" s="26">
        <f t="shared" si="13"/>
        <v>100</v>
      </c>
      <c r="AF23" s="26">
        <f t="shared" si="14"/>
        <v>100</v>
      </c>
      <c r="AG23" s="25">
        <v>411</v>
      </c>
      <c r="AH23" s="11" t="str">
        <f t="shared" si="15"/>
        <v>Юков Роман Александрович
Шнейдер Артем Александрович</v>
      </c>
      <c r="AI23" s="11" t="str">
        <f t="shared" si="16"/>
        <v>Куртамыш
Куртамыш</v>
      </c>
      <c r="AJ23" s="11">
        <f t="shared" si="17"/>
        <v>0</v>
      </c>
      <c r="AK23" s="15">
        <f t="shared" si="18"/>
        <v>2.7199074074074074E-3</v>
      </c>
      <c r="AL23" s="26">
        <f>VLOOKUP($AG23,TAB,42,FALSE)</f>
        <v>0</v>
      </c>
      <c r="AM23" s="26">
        <f t="shared" si="19"/>
        <v>75</v>
      </c>
      <c r="AN23" s="26">
        <f t="shared" si="20"/>
        <v>75</v>
      </c>
      <c r="AO23" s="15">
        <f t="shared" si="21"/>
        <v>1.712962962962963E-3</v>
      </c>
      <c r="AP23" s="26">
        <f>VLOOKUP($AG23,TAB,43,FALSE)</f>
        <v>10</v>
      </c>
      <c r="AQ23" s="26">
        <f t="shared" si="22"/>
        <v>87</v>
      </c>
      <c r="AR23" s="26">
        <f t="shared" si="23"/>
        <v>77</v>
      </c>
      <c r="AS23" s="15">
        <f t="shared" si="24"/>
        <v>1.9871527777777778E-3</v>
      </c>
      <c r="AT23" s="26">
        <f>VLOOKUP($AG23,TAB,44,FALSE)</f>
        <v>0</v>
      </c>
      <c r="AU23" s="26">
        <f t="shared" si="25"/>
        <v>81</v>
      </c>
      <c r="AV23" s="26">
        <f t="shared" si="26"/>
        <v>81</v>
      </c>
      <c r="AW23" s="25">
        <v>411</v>
      </c>
      <c r="AX23" s="11" t="str">
        <f t="shared" si="27"/>
        <v>Юков Роман Александрович
Шнейдер Артем Александрович</v>
      </c>
      <c r="AY23" s="11" t="str">
        <f t="shared" si="28"/>
        <v>Куртамыш
Куртамыш</v>
      </c>
      <c r="AZ23" s="11" t="str">
        <f t="shared" si="29"/>
        <v>Нива 21213</v>
      </c>
      <c r="BA23" s="15">
        <f t="shared" si="30"/>
        <v>9.5694444444444462E-4</v>
      </c>
      <c r="BB23" s="26">
        <f>VLOOKUP($AW23,TAB,45,FALSE)</f>
        <v>0</v>
      </c>
      <c r="BC23" s="26">
        <f t="shared" si="31"/>
        <v>87</v>
      </c>
      <c r="BD23" s="26">
        <f t="shared" si="32"/>
        <v>87</v>
      </c>
      <c r="BE23" s="15">
        <f t="shared" si="33"/>
        <v>3.2031249999999998E-3</v>
      </c>
      <c r="BF23" s="26">
        <f>VLOOKUP($AW23,TAB,46,FALSE)</f>
        <v>0</v>
      </c>
      <c r="BG23" s="26">
        <f t="shared" si="34"/>
        <v>66</v>
      </c>
      <c r="BH23" s="26">
        <f t="shared" si="35"/>
        <v>66</v>
      </c>
      <c r="BI23" s="15">
        <f t="shared" si="36"/>
        <v>4.8495370370370368E-3</v>
      </c>
      <c r="BJ23" s="26">
        <f>VLOOKUP($AW23,TAB,47,FALSE)</f>
        <v>0</v>
      </c>
      <c r="BK23" s="26">
        <f t="shared" si="37"/>
        <v>60</v>
      </c>
      <c r="BL23" s="26">
        <f t="shared" si="38"/>
        <v>60</v>
      </c>
      <c r="BM23" s="25">
        <v>411</v>
      </c>
      <c r="BN23" s="11" t="str">
        <f t="shared" si="39"/>
        <v>Юков Роман Александрович
Шнейдер Артем Александрович</v>
      </c>
      <c r="BO23" s="11" t="str">
        <f t="shared" si="40"/>
        <v>Куртамыш
Куртамыш</v>
      </c>
      <c r="BP23" s="11" t="str">
        <f t="shared" si="41"/>
        <v>Нива 21213</v>
      </c>
      <c r="BQ23" s="15">
        <f>VLOOKUP($BM23,TAB,18,FALSE)</f>
        <v>2.0949074074074073E-3</v>
      </c>
      <c r="BR23" s="26">
        <f>VLOOKUP($BM23,TAB,48,FALSE)</f>
        <v>0</v>
      </c>
      <c r="BS23" s="26">
        <f t="shared" si="42"/>
        <v>56</v>
      </c>
      <c r="BT23" s="26">
        <f t="shared" si="43"/>
        <v>56</v>
      </c>
      <c r="BU23" s="15">
        <f>VLOOKUP($BM23,TAB,19,FALSE)</f>
        <v>1.6435185185185183E-3</v>
      </c>
      <c r="BV23" s="26">
        <f t="shared" si="44"/>
        <v>0</v>
      </c>
      <c r="BW23" s="26">
        <f t="shared" si="45"/>
        <v>84</v>
      </c>
      <c r="BX23" s="26">
        <f t="shared" si="46"/>
        <v>84</v>
      </c>
      <c r="BY23" s="15">
        <f>VLOOKUP($BM23,TAB,20,FALSE)</f>
        <v>2.1064814814814813E-3</v>
      </c>
      <c r="BZ23" s="26">
        <f t="shared" si="47"/>
        <v>0</v>
      </c>
      <c r="CA23" s="26">
        <f t="shared" si="48"/>
        <v>87</v>
      </c>
      <c r="CB23" s="26">
        <f t="shared" si="49"/>
        <v>87</v>
      </c>
      <c r="CC23" s="25">
        <v>411</v>
      </c>
      <c r="CD23" s="11" t="str">
        <f t="shared" si="50"/>
        <v>Юков Роман Александрович
Шнейдер Артем Александрович</v>
      </c>
      <c r="CE23" s="11" t="str">
        <f t="shared" si="51"/>
        <v>Куртамыш
Куртамыш</v>
      </c>
      <c r="CF23" s="11" t="str">
        <f t="shared" si="52"/>
        <v>Нива 21213</v>
      </c>
      <c r="CG23" s="15">
        <f>VLOOKUP($CC23,TAB,21,FALSE)</f>
        <v>2.0565972222222222E-3</v>
      </c>
      <c r="CH23" s="26">
        <f t="shared" si="53"/>
        <v>0</v>
      </c>
      <c r="CI23" s="26">
        <f t="shared" si="54"/>
        <v>84</v>
      </c>
      <c r="CJ23" s="26">
        <f t="shared" si="55"/>
        <v>84</v>
      </c>
      <c r="CK23" s="15">
        <f>VLOOKUP($CC23,TAB,22,FALSE)</f>
        <v>0</v>
      </c>
      <c r="CL23" s="26">
        <f t="shared" si="56"/>
        <v>0</v>
      </c>
      <c r="CM23" s="26">
        <f t="shared" si="57"/>
        <v>0</v>
      </c>
      <c r="CN23" s="26">
        <f t="shared" si="58"/>
        <v>0</v>
      </c>
      <c r="CO23" s="15">
        <f>VLOOKUP($CC23,TAB,23,FALSE)</f>
        <v>0</v>
      </c>
      <c r="CP23" s="26">
        <f t="shared" si="59"/>
        <v>0</v>
      </c>
      <c r="CQ23" s="26">
        <f t="shared" si="60"/>
        <v>0</v>
      </c>
      <c r="CR23" s="26">
        <f t="shared" si="61"/>
        <v>0</v>
      </c>
      <c r="CS23" s="11">
        <f t="shared" si="62"/>
        <v>998</v>
      </c>
    </row>
    <row r="24" spans="1:97" s="6" customFormat="1" ht="60" x14ac:dyDescent="0.25">
      <c r="A24" s="25">
        <v>412</v>
      </c>
      <c r="B24" s="11" t="str">
        <f>VLOOKUP($A24,TAB,2,FALSE)</f>
        <v>Фаттахов Владик Мансурович
Абдулин Сергей Аликович</v>
      </c>
      <c r="C24" s="11" t="str">
        <f>VLOOKUP($A24,TAB,4,FALSE)</f>
        <v>Челябинск
Челябинск</v>
      </c>
      <c r="D24" s="11" t="str">
        <f>VLOOKUP($A24,TAB,5,FALSE)</f>
        <v>ВАЗ 21214</v>
      </c>
      <c r="E24" s="15">
        <f>VLOOKUP($A24,TAB,8,FALSE)</f>
        <v>3.2870370370370367E-3</v>
      </c>
      <c r="F24" s="26"/>
      <c r="G24" s="26">
        <f>VLOOKUP($A24,TAB,70,FALSE)</f>
        <v>72</v>
      </c>
      <c r="H24" s="26">
        <f>VLOOKUP($A24,TAB,101,FALSE)</f>
        <v>72</v>
      </c>
      <c r="I24" s="69"/>
      <c r="J24" s="70"/>
      <c r="K24" s="70"/>
      <c r="L24" s="70"/>
      <c r="M24" s="71"/>
      <c r="N24" s="70"/>
      <c r="O24" s="70"/>
      <c r="P24" s="70"/>
      <c r="Q24" s="25">
        <v>412</v>
      </c>
      <c r="R24" s="11" t="str">
        <f t="shared" si="0"/>
        <v>Фаттахов Владик Мансурович
Абдулин Сергей Аликович</v>
      </c>
      <c r="S24" s="11" t="str">
        <f t="shared" si="1"/>
        <v>Челябинск
Челябинск</v>
      </c>
      <c r="T24" s="11" t="str">
        <f t="shared" si="2"/>
        <v>ВАЗ 21214</v>
      </c>
      <c r="U24" s="15">
        <f t="shared" si="3"/>
        <v>0</v>
      </c>
      <c r="V24" s="26">
        <f t="shared" si="4"/>
        <v>0</v>
      </c>
      <c r="W24" s="26">
        <f t="shared" si="5"/>
        <v>0</v>
      </c>
      <c r="X24" s="26">
        <f t="shared" si="6"/>
        <v>0</v>
      </c>
      <c r="Y24" s="15">
        <f t="shared" si="7"/>
        <v>2.8472222222222219E-3</v>
      </c>
      <c r="Z24" s="26">
        <f t="shared" si="8"/>
        <v>0</v>
      </c>
      <c r="AA24" s="26">
        <f t="shared" si="9"/>
        <v>81</v>
      </c>
      <c r="AB24" s="26">
        <f t="shared" si="10"/>
        <v>81</v>
      </c>
      <c r="AC24" s="15">
        <f t="shared" si="11"/>
        <v>1.7700231481481482E-3</v>
      </c>
      <c r="AD24" s="26">
        <f t="shared" si="12"/>
        <v>0</v>
      </c>
      <c r="AE24" s="26">
        <f t="shared" si="13"/>
        <v>84</v>
      </c>
      <c r="AF24" s="26">
        <f t="shared" si="14"/>
        <v>84</v>
      </c>
      <c r="AG24" s="25">
        <v>412</v>
      </c>
      <c r="AH24" s="11" t="str">
        <f t="shared" si="15"/>
        <v>Фаттахов Владик Мансурович
Абдулин Сергей Аликович</v>
      </c>
      <c r="AI24" s="11" t="str">
        <f t="shared" si="16"/>
        <v>Челябинск
Челябинск</v>
      </c>
      <c r="AJ24" s="11">
        <f t="shared" si="17"/>
        <v>0</v>
      </c>
      <c r="AK24" s="15">
        <f t="shared" si="18"/>
        <v>1.3425925925925925E-3</v>
      </c>
      <c r="AL24" s="26">
        <f>VLOOKUP($AG24,TAB,42,FALSE)</f>
        <v>0</v>
      </c>
      <c r="AM24" s="26">
        <f t="shared" si="19"/>
        <v>100</v>
      </c>
      <c r="AN24" s="26">
        <f t="shared" si="20"/>
        <v>100</v>
      </c>
      <c r="AO24" s="15">
        <f t="shared" si="21"/>
        <v>1.5046296296296294E-3</v>
      </c>
      <c r="AP24" s="26">
        <f>VLOOKUP($AG24,TAB,43,FALSE)</f>
        <v>0</v>
      </c>
      <c r="AQ24" s="26">
        <f t="shared" si="22"/>
        <v>95</v>
      </c>
      <c r="AR24" s="26">
        <f t="shared" si="23"/>
        <v>95</v>
      </c>
      <c r="AS24" s="15">
        <f t="shared" si="24"/>
        <v>1.6913194444444447E-3</v>
      </c>
      <c r="AT24" s="26">
        <f>VLOOKUP($AG24,TAB,44,FALSE)</f>
        <v>0</v>
      </c>
      <c r="AU24" s="26">
        <f t="shared" si="25"/>
        <v>87</v>
      </c>
      <c r="AV24" s="26">
        <f t="shared" si="26"/>
        <v>87</v>
      </c>
      <c r="AW24" s="25">
        <v>412</v>
      </c>
      <c r="AX24" s="11" t="str">
        <f t="shared" si="27"/>
        <v>Фаттахов Владик Мансурович
Абдулин Сергей Аликович</v>
      </c>
      <c r="AY24" s="11" t="str">
        <f t="shared" si="28"/>
        <v>Челябинск
Челябинск</v>
      </c>
      <c r="AZ24" s="11" t="str">
        <f t="shared" si="29"/>
        <v>ВАЗ 21214</v>
      </c>
      <c r="BA24" s="15">
        <f t="shared" si="30"/>
        <v>9.190972222222223E-4</v>
      </c>
      <c r="BB24" s="26">
        <f>VLOOKUP($AW24,TAB,45,FALSE)</f>
        <v>0</v>
      </c>
      <c r="BC24" s="26">
        <f t="shared" si="31"/>
        <v>90</v>
      </c>
      <c r="BD24" s="26">
        <f t="shared" si="32"/>
        <v>90</v>
      </c>
      <c r="BE24" s="15">
        <f t="shared" si="33"/>
        <v>2.1784722222222223E-3</v>
      </c>
      <c r="BF24" s="26">
        <f>VLOOKUP($AW24,TAB,46,FALSE)</f>
        <v>0</v>
      </c>
      <c r="BG24" s="26">
        <f t="shared" si="34"/>
        <v>87</v>
      </c>
      <c r="BH24" s="26">
        <f t="shared" si="35"/>
        <v>87</v>
      </c>
      <c r="BI24" s="15">
        <f t="shared" si="36"/>
        <v>3.4953703703703705E-3</v>
      </c>
      <c r="BJ24" s="26">
        <f>VLOOKUP($AW24,TAB,47,FALSE)</f>
        <v>50</v>
      </c>
      <c r="BK24" s="26">
        <f t="shared" si="37"/>
        <v>84</v>
      </c>
      <c r="BL24" s="26">
        <f t="shared" si="38"/>
        <v>34</v>
      </c>
      <c r="BM24" s="25">
        <v>412</v>
      </c>
      <c r="BN24" s="11" t="str">
        <f t="shared" si="39"/>
        <v>Фаттахов Владик Мансурович
Абдулин Сергей Аликович</v>
      </c>
      <c r="BO24" s="11" t="str">
        <f t="shared" si="40"/>
        <v>Челябинск
Челябинск</v>
      </c>
      <c r="BP24" s="11" t="str">
        <f t="shared" si="41"/>
        <v>ВАЗ 21214</v>
      </c>
      <c r="BQ24" s="15">
        <f>VLOOKUP($BM24,TAB,18,FALSE)</f>
        <v>1.0197916666666667E-3</v>
      </c>
      <c r="BR24" s="26">
        <f>VLOOKUP($BM24,TAB,48,FALSE)</f>
        <v>0</v>
      </c>
      <c r="BS24" s="26">
        <f t="shared" si="42"/>
        <v>100</v>
      </c>
      <c r="BT24" s="26">
        <f t="shared" si="43"/>
        <v>100</v>
      </c>
      <c r="BU24" s="15">
        <f>VLOOKUP($BM24,TAB,19,FALSE)</f>
        <v>1.4467592592592594E-3</v>
      </c>
      <c r="BV24" s="26">
        <f t="shared" si="44"/>
        <v>0</v>
      </c>
      <c r="BW24" s="26">
        <f t="shared" si="45"/>
        <v>95</v>
      </c>
      <c r="BX24" s="26">
        <f t="shared" si="46"/>
        <v>95</v>
      </c>
      <c r="BY24" s="15">
        <f>VLOOKUP($BM24,TAB,20,FALSE)</f>
        <v>2.0486111111111113E-3</v>
      </c>
      <c r="BZ24" s="26">
        <f t="shared" si="47"/>
        <v>0</v>
      </c>
      <c r="CA24" s="26">
        <f t="shared" si="48"/>
        <v>90</v>
      </c>
      <c r="CB24" s="26">
        <f t="shared" si="49"/>
        <v>90</v>
      </c>
      <c r="CC24" s="25">
        <v>412</v>
      </c>
      <c r="CD24" s="11" t="str">
        <f t="shared" si="50"/>
        <v>Фаттахов Владик Мансурович
Абдулин Сергей Аликович</v>
      </c>
      <c r="CE24" s="11" t="str">
        <f t="shared" si="51"/>
        <v>Челябинск
Челябинск</v>
      </c>
      <c r="CF24" s="11" t="str">
        <f t="shared" si="52"/>
        <v>ВАЗ 21214</v>
      </c>
      <c r="CG24" s="15">
        <f>VLOOKUP($CC24,TAB,21,FALSE)</f>
        <v>2.0152777777777777E-3</v>
      </c>
      <c r="CH24" s="26">
        <f t="shared" si="53"/>
        <v>0</v>
      </c>
      <c r="CI24" s="26">
        <f t="shared" si="54"/>
        <v>87</v>
      </c>
      <c r="CJ24" s="26">
        <f t="shared" si="55"/>
        <v>87</v>
      </c>
      <c r="CK24" s="15">
        <f>VLOOKUP($CC24,TAB,22,FALSE)</f>
        <v>0</v>
      </c>
      <c r="CL24" s="26">
        <f t="shared" si="56"/>
        <v>0</v>
      </c>
      <c r="CM24" s="26">
        <f t="shared" si="57"/>
        <v>0</v>
      </c>
      <c r="CN24" s="26">
        <f t="shared" si="58"/>
        <v>0</v>
      </c>
      <c r="CO24" s="15">
        <f>VLOOKUP($CC24,TAB,23,FALSE)</f>
        <v>0</v>
      </c>
      <c r="CP24" s="26">
        <f t="shared" si="59"/>
        <v>0</v>
      </c>
      <c r="CQ24" s="26">
        <f t="shared" si="60"/>
        <v>0</v>
      </c>
      <c r="CR24" s="26">
        <f t="shared" si="61"/>
        <v>0</v>
      </c>
      <c r="CS24" s="11">
        <f t="shared" si="62"/>
        <v>1102</v>
      </c>
    </row>
    <row r="25" spans="1:97" s="6" customFormat="1" ht="60" x14ac:dyDescent="0.25">
      <c r="A25" s="25">
        <v>413</v>
      </c>
      <c r="B25" s="11" t="str">
        <f>VLOOKUP($A25,TAB,2,FALSE)</f>
        <v>Таверов Федор Петрович
Сагдеев Андрей Рамильевич</v>
      </c>
      <c r="C25" s="11" t="str">
        <f>VLOOKUP($A25,TAB,4,FALSE)</f>
        <v>Челябинск
Челябинск</v>
      </c>
      <c r="D25" s="11" t="str">
        <f>VLOOKUP($A25,TAB,5,FALSE)</f>
        <v>ВАЗ 21214</v>
      </c>
      <c r="E25" s="15">
        <f>VLOOKUP($A25,TAB,8,FALSE)</f>
        <v>3.645833333333333E-3</v>
      </c>
      <c r="F25" s="26"/>
      <c r="G25" s="26">
        <f>VLOOKUP($A25,TAB,70,FALSE)</f>
        <v>60</v>
      </c>
      <c r="H25" s="26">
        <f>VLOOKUP($A25,TAB,101,FALSE)</f>
        <v>60</v>
      </c>
      <c r="I25" s="69"/>
      <c r="J25" s="70"/>
      <c r="K25" s="70"/>
      <c r="L25" s="70"/>
      <c r="M25" s="71"/>
      <c r="N25" s="70"/>
      <c r="O25" s="70"/>
      <c r="P25" s="70"/>
      <c r="Q25" s="25">
        <v>413</v>
      </c>
      <c r="R25" s="11" t="str">
        <f t="shared" si="0"/>
        <v>Таверов Федор Петрович
Сагдеев Андрей Рамильевич</v>
      </c>
      <c r="S25" s="11" t="str">
        <f t="shared" si="1"/>
        <v>Челябинск
Челябинск</v>
      </c>
      <c r="T25" s="11" t="str">
        <f t="shared" si="2"/>
        <v>ВАЗ 21214</v>
      </c>
      <c r="U25" s="15">
        <f t="shared" si="3"/>
        <v>0</v>
      </c>
      <c r="V25" s="26">
        <f t="shared" si="4"/>
        <v>0</v>
      </c>
      <c r="W25" s="26">
        <f t="shared" si="5"/>
        <v>0</v>
      </c>
      <c r="X25" s="26">
        <f t="shared" si="6"/>
        <v>0</v>
      </c>
      <c r="Y25" s="15">
        <f t="shared" si="7"/>
        <v>2.7430555555555559E-3</v>
      </c>
      <c r="Z25" s="26">
        <f t="shared" si="8"/>
        <v>0</v>
      </c>
      <c r="AA25" s="26">
        <f t="shared" si="9"/>
        <v>90</v>
      </c>
      <c r="AB25" s="26">
        <f t="shared" si="10"/>
        <v>90</v>
      </c>
      <c r="AC25" s="15">
        <f t="shared" si="11"/>
        <v>2.7813657407407409E-3</v>
      </c>
      <c r="AD25" s="26">
        <f t="shared" si="12"/>
        <v>0</v>
      </c>
      <c r="AE25" s="26">
        <f t="shared" si="13"/>
        <v>60</v>
      </c>
      <c r="AF25" s="26">
        <f t="shared" si="14"/>
        <v>60</v>
      </c>
      <c r="AG25" s="25">
        <v>413</v>
      </c>
      <c r="AH25" s="11" t="str">
        <f t="shared" si="15"/>
        <v>Таверов Федор Петрович
Сагдеев Андрей Рамильевич</v>
      </c>
      <c r="AI25" s="11" t="str">
        <f t="shared" si="16"/>
        <v>Челябинск
Челябинск</v>
      </c>
      <c r="AJ25" s="11">
        <f t="shared" si="17"/>
        <v>0</v>
      </c>
      <c r="AK25" s="15">
        <f t="shared" si="18"/>
        <v>1.5624999999999999E-3</v>
      </c>
      <c r="AL25" s="26">
        <f>VLOOKUP($AG25,TAB,42,FALSE)</f>
        <v>0</v>
      </c>
      <c r="AM25" s="26">
        <f t="shared" si="19"/>
        <v>95</v>
      </c>
      <c r="AN25" s="26">
        <f t="shared" si="20"/>
        <v>95</v>
      </c>
      <c r="AO25" s="15">
        <f t="shared" si="21"/>
        <v>1.8402777777777777E-3</v>
      </c>
      <c r="AP25" s="26">
        <f>VLOOKUP($AG25,TAB,43,FALSE)</f>
        <v>0</v>
      </c>
      <c r="AQ25" s="26">
        <f t="shared" si="22"/>
        <v>81</v>
      </c>
      <c r="AR25" s="26">
        <f t="shared" si="23"/>
        <v>81</v>
      </c>
      <c r="AS25" s="15">
        <f t="shared" si="24"/>
        <v>1.5158564814814815E-3</v>
      </c>
      <c r="AT25" s="26">
        <f>VLOOKUP($AG25,TAB,44,FALSE)</f>
        <v>0</v>
      </c>
      <c r="AU25" s="26">
        <f t="shared" si="25"/>
        <v>95</v>
      </c>
      <c r="AV25" s="26">
        <f t="shared" si="26"/>
        <v>95</v>
      </c>
      <c r="AW25" s="25">
        <v>413</v>
      </c>
      <c r="AX25" s="11" t="str">
        <f t="shared" si="27"/>
        <v>Таверов Федор Петрович
Сагдеев Андрей Рамильевич</v>
      </c>
      <c r="AY25" s="11" t="str">
        <f t="shared" si="28"/>
        <v>Челябинск
Челябинск</v>
      </c>
      <c r="AZ25" s="11" t="str">
        <f t="shared" si="29"/>
        <v>ВАЗ 21214</v>
      </c>
      <c r="BA25" s="15">
        <f t="shared" si="30"/>
        <v>1.1266203703703705E-3</v>
      </c>
      <c r="BB25" s="26">
        <f>VLOOKUP($AW25,TAB,45,FALSE)</f>
        <v>0</v>
      </c>
      <c r="BC25" s="26">
        <f t="shared" si="31"/>
        <v>78</v>
      </c>
      <c r="BD25" s="26">
        <f t="shared" si="32"/>
        <v>78</v>
      </c>
      <c r="BE25" s="15">
        <f t="shared" si="33"/>
        <v>1.9922453703703704E-3</v>
      </c>
      <c r="BF25" s="26">
        <f>VLOOKUP($AW25,TAB,46,FALSE)</f>
        <v>0</v>
      </c>
      <c r="BG25" s="26">
        <f t="shared" si="34"/>
        <v>90</v>
      </c>
      <c r="BH25" s="26">
        <f t="shared" si="35"/>
        <v>90</v>
      </c>
      <c r="BI25" s="15">
        <f t="shared" si="36"/>
        <v>3.0092592592592588E-3</v>
      </c>
      <c r="BJ25" s="26">
        <f>VLOOKUP($AW25,TAB,47,FALSE)</f>
        <v>0</v>
      </c>
      <c r="BK25" s="26">
        <f t="shared" si="37"/>
        <v>95</v>
      </c>
      <c r="BL25" s="26">
        <f t="shared" si="38"/>
        <v>95</v>
      </c>
      <c r="BM25" s="25">
        <v>413</v>
      </c>
      <c r="BN25" s="11" t="str">
        <f t="shared" si="39"/>
        <v>Таверов Федор Петрович
Сагдеев Андрей Рамильевич</v>
      </c>
      <c r="BO25" s="11" t="str">
        <f t="shared" si="40"/>
        <v>Челябинск
Челябинск</v>
      </c>
      <c r="BP25" s="11" t="str">
        <f t="shared" si="41"/>
        <v>ВАЗ 21214</v>
      </c>
      <c r="BQ25" s="15">
        <f>VLOOKUP($BM25,TAB,18,FALSE)</f>
        <v>1.1921296296296296E-3</v>
      </c>
      <c r="BR25" s="26">
        <f>VLOOKUP($BM25,TAB,48,FALSE)</f>
        <v>0</v>
      </c>
      <c r="BS25" s="26">
        <f t="shared" si="42"/>
        <v>90</v>
      </c>
      <c r="BT25" s="26">
        <f t="shared" si="43"/>
        <v>90</v>
      </c>
      <c r="BU25" s="15">
        <f>VLOOKUP($BM25,TAB,19,FALSE)</f>
        <v>1.689814814814815E-3</v>
      </c>
      <c r="BV25" s="26">
        <f t="shared" si="44"/>
        <v>0</v>
      </c>
      <c r="BW25" s="26">
        <f t="shared" si="45"/>
        <v>78</v>
      </c>
      <c r="BX25" s="26">
        <f t="shared" si="46"/>
        <v>78</v>
      </c>
      <c r="BY25" s="15">
        <f>VLOOKUP($BM25,TAB,20,FALSE)</f>
        <v>2.1064814814814813E-3</v>
      </c>
      <c r="BZ25" s="26">
        <f t="shared" si="47"/>
        <v>0</v>
      </c>
      <c r="CA25" s="26">
        <f t="shared" si="48"/>
        <v>87</v>
      </c>
      <c r="CB25" s="26">
        <f t="shared" si="49"/>
        <v>87</v>
      </c>
      <c r="CC25" s="25">
        <v>413</v>
      </c>
      <c r="CD25" s="11" t="str">
        <f t="shared" si="50"/>
        <v>Таверов Федор Петрович
Сагдеев Андрей Рамильевич</v>
      </c>
      <c r="CE25" s="11" t="str">
        <f t="shared" si="51"/>
        <v>Челябинск
Челябинск</v>
      </c>
      <c r="CF25" s="11" t="str">
        <f t="shared" si="52"/>
        <v>ВАЗ 21214</v>
      </c>
      <c r="CG25" s="15">
        <f>VLOOKUP($CC25,TAB,21,FALSE)</f>
        <v>2.0959490740740743E-3</v>
      </c>
      <c r="CH25" s="26">
        <f t="shared" si="53"/>
        <v>0</v>
      </c>
      <c r="CI25" s="26">
        <f t="shared" si="54"/>
        <v>75</v>
      </c>
      <c r="CJ25" s="26">
        <f t="shared" si="55"/>
        <v>75</v>
      </c>
      <c r="CK25" s="15">
        <f>VLOOKUP($CC25,TAB,22,FALSE)</f>
        <v>0</v>
      </c>
      <c r="CL25" s="26">
        <f t="shared" si="56"/>
        <v>0</v>
      </c>
      <c r="CM25" s="26">
        <f t="shared" si="57"/>
        <v>0</v>
      </c>
      <c r="CN25" s="26">
        <f t="shared" si="58"/>
        <v>0</v>
      </c>
      <c r="CO25" s="15">
        <f>VLOOKUP($CC25,TAB,23,FALSE)</f>
        <v>0</v>
      </c>
      <c r="CP25" s="26">
        <f t="shared" si="59"/>
        <v>0</v>
      </c>
      <c r="CQ25" s="26">
        <f t="shared" si="60"/>
        <v>0</v>
      </c>
      <c r="CR25" s="26">
        <f t="shared" si="61"/>
        <v>0</v>
      </c>
      <c r="CS25" s="11">
        <f t="shared" si="62"/>
        <v>1074</v>
      </c>
    </row>
    <row r="26" spans="1:97" s="6" customFormat="1" ht="60" x14ac:dyDescent="0.25">
      <c r="A26" s="25">
        <v>414</v>
      </c>
      <c r="B26" s="11" t="str">
        <f>VLOOKUP($A26,TAB,2,FALSE)</f>
        <v>Ефимов Юрий Владимирович
Мокринский Олег Владиславович</v>
      </c>
      <c r="C26" s="11" t="str">
        <f>VLOOKUP($A26,TAB,4,FALSE)</f>
        <v>Камышлов
Камышлов</v>
      </c>
      <c r="D26" s="11" t="str">
        <f>VLOOKUP($A26,TAB,5,FALSE)</f>
        <v>ВАЗ 2123</v>
      </c>
      <c r="E26" s="15">
        <f>VLOOKUP($A26,TAB,8,FALSE)</f>
        <v>4.3518518518518515E-3</v>
      </c>
      <c r="F26" s="26"/>
      <c r="G26" s="26">
        <f>VLOOKUP($A26,TAB,70,FALSE)</f>
        <v>52</v>
      </c>
      <c r="H26" s="26">
        <f>VLOOKUP($A26,TAB,101,FALSE)</f>
        <v>52</v>
      </c>
      <c r="I26" s="69"/>
      <c r="J26" s="70"/>
      <c r="K26" s="70"/>
      <c r="L26" s="70"/>
      <c r="M26" s="71"/>
      <c r="N26" s="70"/>
      <c r="O26" s="70"/>
      <c r="P26" s="70"/>
      <c r="Q26" s="25">
        <v>414</v>
      </c>
      <c r="R26" s="11" t="str">
        <f t="shared" si="0"/>
        <v>Ефимов Юрий Владимирович
Мокринский Олег Владиславович</v>
      </c>
      <c r="S26" s="11" t="str">
        <f t="shared" si="1"/>
        <v>Камышлов
Камышлов</v>
      </c>
      <c r="T26" s="11" t="str">
        <f t="shared" si="2"/>
        <v>ВАЗ 2123</v>
      </c>
      <c r="U26" s="15">
        <f t="shared" si="3"/>
        <v>0</v>
      </c>
      <c r="V26" s="26">
        <f t="shared" si="4"/>
        <v>0</v>
      </c>
      <c r="W26" s="26">
        <f t="shared" si="5"/>
        <v>0</v>
      </c>
      <c r="X26" s="26">
        <f t="shared" si="6"/>
        <v>0</v>
      </c>
      <c r="Y26" s="15">
        <f t="shared" si="7"/>
        <v>4.0740740740740746E-3</v>
      </c>
      <c r="Z26" s="26">
        <f t="shared" si="8"/>
        <v>0</v>
      </c>
      <c r="AA26" s="26">
        <f t="shared" si="9"/>
        <v>58</v>
      </c>
      <c r="AB26" s="26">
        <f t="shared" si="10"/>
        <v>58</v>
      </c>
      <c r="AC26" s="15">
        <f t="shared" si="11"/>
        <v>2.2450231481481483E-3</v>
      </c>
      <c r="AD26" s="26">
        <f t="shared" si="12"/>
        <v>0</v>
      </c>
      <c r="AE26" s="26">
        <f t="shared" si="13"/>
        <v>75</v>
      </c>
      <c r="AF26" s="26">
        <f t="shared" si="14"/>
        <v>75</v>
      </c>
      <c r="AG26" s="25">
        <v>414</v>
      </c>
      <c r="AH26" s="11" t="str">
        <f t="shared" si="15"/>
        <v>Ефимов Юрий Владимирович
Мокринский Олег Владиславович</v>
      </c>
      <c r="AI26" s="11" t="str">
        <f t="shared" si="16"/>
        <v>Камышлов
Камышлов</v>
      </c>
      <c r="AJ26" s="11">
        <f t="shared" si="17"/>
        <v>0</v>
      </c>
      <c r="AK26" s="15">
        <f t="shared" si="18"/>
        <v>4.0162037037037033E-3</v>
      </c>
      <c r="AL26" s="26">
        <f>VLOOKUP($AG26,TAB,42,FALSE)</f>
        <v>0</v>
      </c>
      <c r="AM26" s="26">
        <f t="shared" si="19"/>
        <v>54</v>
      </c>
      <c r="AN26" s="26">
        <f t="shared" si="20"/>
        <v>54</v>
      </c>
      <c r="AO26" s="15">
        <f t="shared" si="21"/>
        <v>2.1180555555555553E-3</v>
      </c>
      <c r="AP26" s="26">
        <f>VLOOKUP($AG26,TAB,43,FALSE)</f>
        <v>0</v>
      </c>
      <c r="AQ26" s="26">
        <f t="shared" si="22"/>
        <v>69</v>
      </c>
      <c r="AR26" s="26">
        <f t="shared" si="23"/>
        <v>69</v>
      </c>
      <c r="AS26" s="15">
        <f t="shared" si="24"/>
        <v>4.0252314814814812E-3</v>
      </c>
      <c r="AT26" s="26">
        <f>VLOOKUP($AG26,TAB,44,FALSE)</f>
        <v>0</v>
      </c>
      <c r="AU26" s="26">
        <f t="shared" si="25"/>
        <v>60</v>
      </c>
      <c r="AV26" s="26">
        <f t="shared" si="26"/>
        <v>60</v>
      </c>
      <c r="AW26" s="25">
        <v>414</v>
      </c>
      <c r="AX26" s="11" t="str">
        <f t="shared" si="27"/>
        <v>Ефимов Юрий Владимирович
Мокринский Олег Владиславович</v>
      </c>
      <c r="AY26" s="11" t="str">
        <f t="shared" si="28"/>
        <v>Камышлов
Камышлов</v>
      </c>
      <c r="AZ26" s="11" t="str">
        <f t="shared" si="29"/>
        <v>ВАЗ 2123</v>
      </c>
      <c r="BA26" s="15">
        <f t="shared" si="30"/>
        <v>1.5798611111111111E-3</v>
      </c>
      <c r="BB26" s="26">
        <f>VLOOKUP($AW26,TAB,45,FALSE)</f>
        <v>0</v>
      </c>
      <c r="BC26" s="26">
        <f t="shared" si="31"/>
        <v>72</v>
      </c>
      <c r="BD26" s="26">
        <f t="shared" si="32"/>
        <v>72</v>
      </c>
      <c r="BE26" s="15">
        <f t="shared" si="33"/>
        <v>2.6493055555555558E-3</v>
      </c>
      <c r="BF26" s="26">
        <f>VLOOKUP($AW26,TAB,46,FALSE)</f>
        <v>0</v>
      </c>
      <c r="BG26" s="26">
        <f t="shared" si="34"/>
        <v>81</v>
      </c>
      <c r="BH26" s="26">
        <f t="shared" si="35"/>
        <v>81</v>
      </c>
      <c r="BI26" s="15">
        <f t="shared" si="36"/>
        <v>4.6759259259259263E-3</v>
      </c>
      <c r="BJ26" s="26">
        <f>VLOOKUP($AW26,TAB,47,FALSE)</f>
        <v>0</v>
      </c>
      <c r="BK26" s="26">
        <f t="shared" si="37"/>
        <v>63</v>
      </c>
      <c r="BL26" s="26">
        <f t="shared" si="38"/>
        <v>63</v>
      </c>
      <c r="BM26" s="25">
        <v>414</v>
      </c>
      <c r="BN26" s="11" t="str">
        <f t="shared" si="39"/>
        <v>Ефимов Юрий Владимирович
Мокринский Олег Владиславович</v>
      </c>
      <c r="BO26" s="11" t="str">
        <f t="shared" si="40"/>
        <v>Камышлов
Камышлов</v>
      </c>
      <c r="BP26" s="11" t="str">
        <f t="shared" si="41"/>
        <v>ВАЗ 2123</v>
      </c>
      <c r="BQ26" s="15">
        <f>VLOOKUP($BM26,TAB,18,FALSE)</f>
        <v>1.9097222222222222E-3</v>
      </c>
      <c r="BR26" s="26">
        <f>VLOOKUP($BM26,TAB,48,FALSE)</f>
        <v>0</v>
      </c>
      <c r="BS26" s="26">
        <f t="shared" si="42"/>
        <v>60</v>
      </c>
      <c r="BT26" s="26">
        <f t="shared" si="43"/>
        <v>60</v>
      </c>
      <c r="BU26" s="15">
        <f>VLOOKUP($BM26,TAB,19,FALSE)</f>
        <v>1.6782407407407406E-3</v>
      </c>
      <c r="BV26" s="26">
        <f t="shared" si="44"/>
        <v>0</v>
      </c>
      <c r="BW26" s="26">
        <f t="shared" si="45"/>
        <v>81</v>
      </c>
      <c r="BX26" s="26">
        <f t="shared" si="46"/>
        <v>81</v>
      </c>
      <c r="BY26" s="15">
        <f>VLOOKUP($BM26,TAB,20,FALSE)</f>
        <v>2.1180555555555553E-3</v>
      </c>
      <c r="BZ26" s="26">
        <f t="shared" si="47"/>
        <v>0</v>
      </c>
      <c r="CA26" s="26">
        <f t="shared" si="48"/>
        <v>81</v>
      </c>
      <c r="CB26" s="26">
        <f t="shared" si="49"/>
        <v>81</v>
      </c>
      <c r="CC26" s="25">
        <v>414</v>
      </c>
      <c r="CD26" s="11" t="str">
        <f t="shared" si="50"/>
        <v>Ефимов Юрий Владимирович
Мокринский Олег Владиславович</v>
      </c>
      <c r="CE26" s="11" t="str">
        <f t="shared" si="51"/>
        <v>Камышлов
Камышлов</v>
      </c>
      <c r="CF26" s="11" t="str">
        <f t="shared" si="52"/>
        <v>ВАЗ 2123</v>
      </c>
      <c r="CG26" s="15">
        <f>VLOOKUP($CC26,TAB,21,FALSE)</f>
        <v>2.7806712962962963E-3</v>
      </c>
      <c r="CH26" s="26">
        <f t="shared" si="53"/>
        <v>0</v>
      </c>
      <c r="CI26" s="26">
        <f t="shared" si="54"/>
        <v>60</v>
      </c>
      <c r="CJ26" s="26">
        <f t="shared" si="55"/>
        <v>60</v>
      </c>
      <c r="CK26" s="15">
        <f>VLOOKUP($CC26,TAB,22,FALSE)</f>
        <v>0</v>
      </c>
      <c r="CL26" s="26">
        <f t="shared" si="56"/>
        <v>0</v>
      </c>
      <c r="CM26" s="26">
        <f t="shared" si="57"/>
        <v>0</v>
      </c>
      <c r="CN26" s="26">
        <f t="shared" si="58"/>
        <v>0</v>
      </c>
      <c r="CO26" s="15">
        <f>VLOOKUP($CC26,TAB,23,FALSE)</f>
        <v>0</v>
      </c>
      <c r="CP26" s="26">
        <f t="shared" si="59"/>
        <v>0</v>
      </c>
      <c r="CQ26" s="26">
        <f t="shared" si="60"/>
        <v>0</v>
      </c>
      <c r="CR26" s="26">
        <f t="shared" si="61"/>
        <v>0</v>
      </c>
      <c r="CS26" s="11">
        <f t="shared" si="62"/>
        <v>866</v>
      </c>
    </row>
    <row r="27" spans="1:97" s="6" customFormat="1" ht="60" x14ac:dyDescent="0.25">
      <c r="A27" s="25">
        <v>415</v>
      </c>
      <c r="B27" s="11" t="str">
        <f>VLOOKUP($A27,TAB,2,FALSE)</f>
        <v>Пуртов Александр Сергеевич
Соловьев Александр Вячеславович</v>
      </c>
      <c r="C27" s="11" t="str">
        <f>VLOOKUP($A27,TAB,4,FALSE)</f>
        <v>Екатеринбург
Екатеринбург</v>
      </c>
      <c r="D27" s="11">
        <f>VLOOKUP($A27,TAB,5,FALSE)</f>
        <v>0</v>
      </c>
      <c r="E27" s="15">
        <f>VLOOKUP($A27,TAB,8,FALSE)</f>
        <v>3.2175925925925926E-3</v>
      </c>
      <c r="F27" s="26"/>
      <c r="G27" s="26">
        <f>VLOOKUP($A27,TAB,70,FALSE)</f>
        <v>78</v>
      </c>
      <c r="H27" s="26">
        <f>VLOOKUP($A27,TAB,101,FALSE)</f>
        <v>78</v>
      </c>
      <c r="I27" s="69"/>
      <c r="J27" s="70"/>
      <c r="K27" s="70"/>
      <c r="L27" s="70"/>
      <c r="M27" s="71"/>
      <c r="N27" s="70"/>
      <c r="O27" s="70"/>
      <c r="P27" s="70"/>
      <c r="Q27" s="25">
        <v>415</v>
      </c>
      <c r="R27" s="11" t="str">
        <f t="shared" si="0"/>
        <v>Пуртов Александр Сергеевич
Соловьев Александр Вячеславович</v>
      </c>
      <c r="S27" s="11" t="str">
        <f t="shared" si="1"/>
        <v>Екатеринбург
Екатеринбург</v>
      </c>
      <c r="T27" s="11">
        <f t="shared" si="2"/>
        <v>0</v>
      </c>
      <c r="U27" s="15">
        <f t="shared" si="3"/>
        <v>0</v>
      </c>
      <c r="V27" s="26">
        <f t="shared" si="4"/>
        <v>0</v>
      </c>
      <c r="W27" s="26">
        <f t="shared" si="5"/>
        <v>0</v>
      </c>
      <c r="X27" s="26">
        <f t="shared" si="6"/>
        <v>0</v>
      </c>
      <c r="Y27" s="15">
        <f t="shared" si="7"/>
        <v>4.2824074074074075E-3</v>
      </c>
      <c r="Z27" s="26">
        <f t="shared" si="8"/>
        <v>0</v>
      </c>
      <c r="AA27" s="26">
        <f t="shared" si="9"/>
        <v>54</v>
      </c>
      <c r="AB27" s="26">
        <f t="shared" si="10"/>
        <v>54</v>
      </c>
      <c r="AC27" s="15">
        <f t="shared" si="11"/>
        <v>1.7484953703703705E-3</v>
      </c>
      <c r="AD27" s="26">
        <f t="shared" si="12"/>
        <v>0</v>
      </c>
      <c r="AE27" s="26">
        <f t="shared" si="13"/>
        <v>87</v>
      </c>
      <c r="AF27" s="26">
        <f t="shared" si="14"/>
        <v>87</v>
      </c>
      <c r="AG27" s="25">
        <v>415</v>
      </c>
      <c r="AH27" s="11" t="str">
        <f t="shared" si="15"/>
        <v>Пуртов Александр Сергеевич
Соловьев Александр Вячеславович</v>
      </c>
      <c r="AI27" s="11" t="str">
        <f t="shared" si="16"/>
        <v>Екатеринбург
Екатеринбург</v>
      </c>
      <c r="AJ27" s="11">
        <f t="shared" si="17"/>
        <v>0</v>
      </c>
      <c r="AK27" s="15">
        <f t="shared" si="18"/>
        <v>3.3101851851851851E-3</v>
      </c>
      <c r="AL27" s="26">
        <f>VLOOKUP($AG27,TAB,42,FALSE)</f>
        <v>0</v>
      </c>
      <c r="AM27" s="26">
        <f t="shared" si="19"/>
        <v>56</v>
      </c>
      <c r="AN27" s="26">
        <f t="shared" si="20"/>
        <v>56</v>
      </c>
      <c r="AO27" s="15">
        <f t="shared" si="21"/>
        <v>2.2685185185185182E-3</v>
      </c>
      <c r="AP27" s="26">
        <f>VLOOKUP($AG27,TAB,43,FALSE)</f>
        <v>10</v>
      </c>
      <c r="AQ27" s="26">
        <f t="shared" si="22"/>
        <v>66</v>
      </c>
      <c r="AR27" s="26">
        <f t="shared" si="23"/>
        <v>56</v>
      </c>
      <c r="AS27" s="15" t="str">
        <f t="shared" si="24"/>
        <v>DNF</v>
      </c>
      <c r="AT27" s="26">
        <f>VLOOKUP($AG27,TAB,44,FALSE)</f>
        <v>0</v>
      </c>
      <c r="AU27" s="26">
        <f t="shared" si="25"/>
        <v>20</v>
      </c>
      <c r="AV27" s="26">
        <f t="shared" si="26"/>
        <v>20</v>
      </c>
      <c r="AW27" s="25">
        <v>415</v>
      </c>
      <c r="AX27" s="11" t="str">
        <f t="shared" si="27"/>
        <v>Пуртов Александр Сергеевич
Соловьев Александр Вячеславович</v>
      </c>
      <c r="AY27" s="11" t="str">
        <f t="shared" si="28"/>
        <v>Екатеринбург
Екатеринбург</v>
      </c>
      <c r="AZ27" s="11">
        <f t="shared" si="29"/>
        <v>0</v>
      </c>
      <c r="BA27" s="15">
        <f t="shared" si="30"/>
        <v>1.964699074074074E-3</v>
      </c>
      <c r="BB27" s="26">
        <f>VLOOKUP($AW27,TAB,45,FALSE)</f>
        <v>0</v>
      </c>
      <c r="BC27" s="26">
        <f t="shared" si="31"/>
        <v>60</v>
      </c>
      <c r="BD27" s="26">
        <f t="shared" si="32"/>
        <v>60</v>
      </c>
      <c r="BE27" s="15" t="str">
        <f t="shared" si="33"/>
        <v>DNF</v>
      </c>
      <c r="BF27" s="26">
        <f>VLOOKUP($AW27,TAB,46,FALSE)</f>
        <v>0</v>
      </c>
      <c r="BG27" s="26">
        <f t="shared" si="34"/>
        <v>20</v>
      </c>
      <c r="BH27" s="26">
        <f t="shared" si="35"/>
        <v>20</v>
      </c>
      <c r="BI27" s="15">
        <f t="shared" si="36"/>
        <v>4.2824074074074075E-3</v>
      </c>
      <c r="BJ27" s="26">
        <f>VLOOKUP($AW27,TAB,47,FALSE)</f>
        <v>10</v>
      </c>
      <c r="BK27" s="26">
        <f t="shared" si="37"/>
        <v>72</v>
      </c>
      <c r="BL27" s="26">
        <f t="shared" si="38"/>
        <v>62</v>
      </c>
      <c r="BM27" s="25">
        <v>415</v>
      </c>
      <c r="BN27" s="11" t="str">
        <f t="shared" si="39"/>
        <v>Пуртов Александр Сергеевич
Соловьев Александр Вячеславович</v>
      </c>
      <c r="BO27" s="11" t="str">
        <f t="shared" si="40"/>
        <v>Екатеринбург
Екатеринбург</v>
      </c>
      <c r="BP27" s="11">
        <f t="shared" si="41"/>
        <v>0</v>
      </c>
      <c r="BQ27" s="15">
        <f>VLOOKUP($BM27,TAB,18,FALSE)</f>
        <v>1.8750000000000001E-3</v>
      </c>
      <c r="BR27" s="26">
        <f>VLOOKUP($BM27,TAB,48,FALSE)</f>
        <v>0</v>
      </c>
      <c r="BS27" s="26">
        <f t="shared" si="42"/>
        <v>63</v>
      </c>
      <c r="BT27" s="26">
        <f t="shared" si="43"/>
        <v>63</v>
      </c>
      <c r="BU27" s="15">
        <f>VLOOKUP($BM27,TAB,19,FALSE)</f>
        <v>2.5462962962962961E-3</v>
      </c>
      <c r="BV27" s="26">
        <f t="shared" si="44"/>
        <v>40</v>
      </c>
      <c r="BW27" s="26">
        <f t="shared" si="45"/>
        <v>60</v>
      </c>
      <c r="BX27" s="26">
        <f t="shared" si="46"/>
        <v>20</v>
      </c>
      <c r="BY27" s="15">
        <f>VLOOKUP($BM27,TAB,20,FALSE)</f>
        <v>2.4537037037037036E-3</v>
      </c>
      <c r="BZ27" s="26">
        <f t="shared" si="47"/>
        <v>0</v>
      </c>
      <c r="CA27" s="26">
        <f t="shared" si="48"/>
        <v>75</v>
      </c>
      <c r="CB27" s="26">
        <f t="shared" si="49"/>
        <v>75</v>
      </c>
      <c r="CC27" s="25">
        <v>415</v>
      </c>
      <c r="CD27" s="11" t="str">
        <f t="shared" si="50"/>
        <v>Пуртов Александр Сергеевич
Соловьев Александр Вячеславович</v>
      </c>
      <c r="CE27" s="11" t="str">
        <f t="shared" si="51"/>
        <v>Екатеринбург
Екатеринбург</v>
      </c>
      <c r="CF27" s="11">
        <f t="shared" si="52"/>
        <v>0</v>
      </c>
      <c r="CG27" s="15">
        <f>VLOOKUP($CC27,TAB,21,FALSE)</f>
        <v>2.0833333333333333E-3</v>
      </c>
      <c r="CH27" s="26">
        <f t="shared" si="53"/>
        <v>0</v>
      </c>
      <c r="CI27" s="26">
        <f t="shared" si="54"/>
        <v>78</v>
      </c>
      <c r="CJ27" s="26">
        <f t="shared" si="55"/>
        <v>78</v>
      </c>
      <c r="CK27" s="15">
        <f>VLOOKUP($CC27,TAB,22,FALSE)</f>
        <v>0</v>
      </c>
      <c r="CL27" s="26">
        <f t="shared" si="56"/>
        <v>0</v>
      </c>
      <c r="CM27" s="26">
        <f t="shared" si="57"/>
        <v>0</v>
      </c>
      <c r="CN27" s="26">
        <f t="shared" si="58"/>
        <v>0</v>
      </c>
      <c r="CO27" s="15">
        <f>VLOOKUP($CC27,TAB,23,FALSE)</f>
        <v>0</v>
      </c>
      <c r="CP27" s="26">
        <f t="shared" si="59"/>
        <v>0</v>
      </c>
      <c r="CQ27" s="26">
        <f t="shared" si="60"/>
        <v>0</v>
      </c>
      <c r="CR27" s="26">
        <f t="shared" si="61"/>
        <v>0</v>
      </c>
      <c r="CS27" s="11">
        <f t="shared" si="62"/>
        <v>729</v>
      </c>
    </row>
    <row r="28" spans="1:97" s="6" customFormat="1" ht="60" x14ac:dyDescent="0.25">
      <c r="A28" s="25">
        <v>416</v>
      </c>
      <c r="B28" s="11" t="str">
        <f>VLOOKUP($A28,TAB,2,FALSE)</f>
        <v>Бикмухаметов Альберт Гадульфатович
Кожевников Петр Владимирович</v>
      </c>
      <c r="C28" s="11" t="str">
        <f>VLOOKUP($A28,TAB,4,FALSE)</f>
        <v>Магнитогорск
Магнитогорск</v>
      </c>
      <c r="D28" s="11" t="str">
        <f>VLOOKUP($A28,TAB,5,FALSE)</f>
        <v>Нива Шевроле</v>
      </c>
      <c r="E28" s="15">
        <f>VLOOKUP($A28,TAB,8,FALSE)</f>
        <v>3.1365740740740742E-3</v>
      </c>
      <c r="F28" s="26"/>
      <c r="G28" s="26">
        <f>VLOOKUP($A28,TAB,70,FALSE)</f>
        <v>81</v>
      </c>
      <c r="H28" s="26">
        <f>VLOOKUP($A28,TAB,101,FALSE)</f>
        <v>81</v>
      </c>
      <c r="I28" s="69"/>
      <c r="J28" s="70"/>
      <c r="K28" s="70"/>
      <c r="L28" s="70"/>
      <c r="M28" s="71"/>
      <c r="N28" s="70"/>
      <c r="O28" s="70"/>
      <c r="P28" s="70"/>
      <c r="Q28" s="25">
        <v>416</v>
      </c>
      <c r="R28" s="11" t="str">
        <f t="shared" si="0"/>
        <v>Бикмухаметов Альберт Гадульфатович
Кожевников Петр Владимирович</v>
      </c>
      <c r="S28" s="11" t="str">
        <f t="shared" si="1"/>
        <v>Магнитогорск
Магнитогорск</v>
      </c>
      <c r="T28" s="11" t="str">
        <f t="shared" si="2"/>
        <v>Нива Шевроле</v>
      </c>
      <c r="U28" s="15">
        <f t="shared" si="3"/>
        <v>0</v>
      </c>
      <c r="V28" s="26">
        <f t="shared" si="4"/>
        <v>0</v>
      </c>
      <c r="W28" s="26">
        <f t="shared" si="5"/>
        <v>0</v>
      </c>
      <c r="X28" s="26">
        <f t="shared" si="6"/>
        <v>0</v>
      </c>
      <c r="Y28" s="15">
        <f t="shared" si="7"/>
        <v>2.6967592592592594E-3</v>
      </c>
      <c r="Z28" s="26">
        <f t="shared" si="8"/>
        <v>0</v>
      </c>
      <c r="AA28" s="26">
        <f t="shared" si="9"/>
        <v>95</v>
      </c>
      <c r="AB28" s="26">
        <f t="shared" si="10"/>
        <v>95</v>
      </c>
      <c r="AC28" s="15">
        <f t="shared" si="11"/>
        <v>1.7365740740740742E-3</v>
      </c>
      <c r="AD28" s="26">
        <f t="shared" si="12"/>
        <v>0</v>
      </c>
      <c r="AE28" s="26">
        <f t="shared" si="13"/>
        <v>95</v>
      </c>
      <c r="AF28" s="26">
        <f t="shared" si="14"/>
        <v>95</v>
      </c>
      <c r="AG28" s="25">
        <v>416</v>
      </c>
      <c r="AH28" s="11" t="str">
        <f t="shared" si="15"/>
        <v>Бикмухаметов Альберт Гадульфатович
Кожевников Петр Владимирович</v>
      </c>
      <c r="AI28" s="11" t="str">
        <f t="shared" si="16"/>
        <v>Магнитогорск
Магнитогорск</v>
      </c>
      <c r="AJ28" s="11">
        <f t="shared" si="17"/>
        <v>0</v>
      </c>
      <c r="AK28" s="15">
        <f t="shared" si="18"/>
        <v>3.0312500000000005E-3</v>
      </c>
      <c r="AL28" s="26">
        <f>VLOOKUP($AG28,TAB,42,FALSE)</f>
        <v>0</v>
      </c>
      <c r="AM28" s="26">
        <f t="shared" si="19"/>
        <v>63</v>
      </c>
      <c r="AN28" s="26">
        <f t="shared" si="20"/>
        <v>63</v>
      </c>
      <c r="AO28" s="15">
        <f t="shared" si="21"/>
        <v>1.6550925925925926E-3</v>
      </c>
      <c r="AP28" s="26">
        <f>VLOOKUP($AG28,TAB,43,FALSE)</f>
        <v>0</v>
      </c>
      <c r="AQ28" s="26">
        <f t="shared" si="22"/>
        <v>90</v>
      </c>
      <c r="AR28" s="26">
        <f t="shared" si="23"/>
        <v>90</v>
      </c>
      <c r="AS28" s="15">
        <f t="shared" si="24"/>
        <v>1.9212962962962962E-3</v>
      </c>
      <c r="AT28" s="26">
        <f>VLOOKUP($AG28,TAB,44,FALSE)</f>
        <v>0</v>
      </c>
      <c r="AU28" s="26">
        <f t="shared" si="25"/>
        <v>84</v>
      </c>
      <c r="AV28" s="26">
        <f t="shared" si="26"/>
        <v>84</v>
      </c>
      <c r="AW28" s="25">
        <v>416</v>
      </c>
      <c r="AX28" s="11" t="str">
        <f t="shared" si="27"/>
        <v>Бикмухаметов Альберт Гадульфатович
Кожевников Петр Владимирович</v>
      </c>
      <c r="AY28" s="11" t="str">
        <f t="shared" si="28"/>
        <v>Магнитогорск
Магнитогорск</v>
      </c>
      <c r="AZ28" s="11" t="str">
        <f t="shared" si="29"/>
        <v>Нива Шевроле</v>
      </c>
      <c r="BA28" s="15">
        <f t="shared" si="30"/>
        <v>1.0903935185185185E-3</v>
      </c>
      <c r="BB28" s="26">
        <f>VLOOKUP($AW28,TAB,45,FALSE)</f>
        <v>0</v>
      </c>
      <c r="BC28" s="26">
        <f t="shared" si="31"/>
        <v>81</v>
      </c>
      <c r="BD28" s="26">
        <f t="shared" si="32"/>
        <v>81</v>
      </c>
      <c r="BE28" s="15">
        <f t="shared" si="33"/>
        <v>3.5920138888888894E-3</v>
      </c>
      <c r="BF28" s="26">
        <f>VLOOKUP($AW28,TAB,46,FALSE)</f>
        <v>10</v>
      </c>
      <c r="BG28" s="26">
        <f t="shared" si="34"/>
        <v>63</v>
      </c>
      <c r="BH28" s="26">
        <f t="shared" si="35"/>
        <v>53</v>
      </c>
      <c r="BI28" s="15">
        <f t="shared" si="36"/>
        <v>3.9236111111111112E-3</v>
      </c>
      <c r="BJ28" s="26">
        <f>VLOOKUP($AW28,TAB,47,FALSE)</f>
        <v>0</v>
      </c>
      <c r="BK28" s="26">
        <f t="shared" si="37"/>
        <v>78</v>
      </c>
      <c r="BL28" s="26">
        <f t="shared" si="38"/>
        <v>78</v>
      </c>
      <c r="BM28" s="25">
        <v>416</v>
      </c>
      <c r="BN28" s="11" t="str">
        <f t="shared" si="39"/>
        <v>Бикмухаметов Альберт Гадульфатович
Кожевников Петр Владимирович</v>
      </c>
      <c r="BO28" s="11" t="str">
        <f t="shared" si="40"/>
        <v>Магнитогорск
Магнитогорск</v>
      </c>
      <c r="BP28" s="11" t="str">
        <f t="shared" si="41"/>
        <v>Нива Шевроле</v>
      </c>
      <c r="BQ28" s="15">
        <f>VLOOKUP($BM28,TAB,18,FALSE)</f>
        <v>1.5824074074074074E-3</v>
      </c>
      <c r="BR28" s="26">
        <f>VLOOKUP($BM28,TAB,48,FALSE)</f>
        <v>10</v>
      </c>
      <c r="BS28" s="26">
        <f t="shared" si="42"/>
        <v>78</v>
      </c>
      <c r="BT28" s="26">
        <f t="shared" si="43"/>
        <v>68</v>
      </c>
      <c r="BU28" s="15">
        <f>VLOOKUP($BM28,TAB,19,FALSE)</f>
        <v>1.6087962962962963E-3</v>
      </c>
      <c r="BV28" s="26">
        <f t="shared" si="44"/>
        <v>0</v>
      </c>
      <c r="BW28" s="26">
        <f t="shared" si="45"/>
        <v>87</v>
      </c>
      <c r="BX28" s="26">
        <f t="shared" si="46"/>
        <v>87</v>
      </c>
      <c r="BY28" s="15">
        <f>VLOOKUP($BM28,TAB,20,FALSE)</f>
        <v>2.0023148148148148E-3</v>
      </c>
      <c r="BZ28" s="26">
        <f t="shared" si="47"/>
        <v>0</v>
      </c>
      <c r="CA28" s="26">
        <f t="shared" si="48"/>
        <v>95</v>
      </c>
      <c r="CB28" s="26">
        <f t="shared" si="49"/>
        <v>95</v>
      </c>
      <c r="CC28" s="25">
        <v>416</v>
      </c>
      <c r="CD28" s="11" t="str">
        <f t="shared" si="50"/>
        <v>Бикмухаметов Альберт Гадульфатович
Кожевников Петр Владимирович</v>
      </c>
      <c r="CE28" s="11" t="str">
        <f t="shared" si="51"/>
        <v>Магнитогорск
Магнитогорск</v>
      </c>
      <c r="CF28" s="11" t="str">
        <f t="shared" si="52"/>
        <v>Нива Шевроле</v>
      </c>
      <c r="CG28" s="15">
        <f>VLOOKUP($CC28,TAB,21,FALSE)</f>
        <v>1.6806712962962964E-3</v>
      </c>
      <c r="CH28" s="26">
        <f t="shared" si="53"/>
        <v>0</v>
      </c>
      <c r="CI28" s="26">
        <f t="shared" si="54"/>
        <v>95</v>
      </c>
      <c r="CJ28" s="26">
        <f t="shared" si="55"/>
        <v>95</v>
      </c>
      <c r="CK28" s="15">
        <f>VLOOKUP($CC28,TAB,22,FALSE)</f>
        <v>0</v>
      </c>
      <c r="CL28" s="26">
        <f t="shared" si="56"/>
        <v>0</v>
      </c>
      <c r="CM28" s="26">
        <f t="shared" si="57"/>
        <v>0</v>
      </c>
      <c r="CN28" s="26">
        <f t="shared" si="58"/>
        <v>0</v>
      </c>
      <c r="CO28" s="15">
        <f>VLOOKUP($CC28,TAB,23,FALSE)</f>
        <v>0</v>
      </c>
      <c r="CP28" s="26">
        <f t="shared" si="59"/>
        <v>0</v>
      </c>
      <c r="CQ28" s="26">
        <f t="shared" si="60"/>
        <v>0</v>
      </c>
      <c r="CR28" s="26">
        <f t="shared" si="61"/>
        <v>0</v>
      </c>
      <c r="CS28" s="11">
        <f t="shared" si="62"/>
        <v>1065</v>
      </c>
    </row>
    <row r="29" spans="1:97" s="6" customFormat="1" ht="45" x14ac:dyDescent="0.25">
      <c r="A29" s="25">
        <v>417</v>
      </c>
      <c r="B29" s="11" t="str">
        <f>VLOOKUP($A29,TAB,2,FALSE)</f>
        <v>Голубев Валерий Викторович
Зее Ян Игоревич</v>
      </c>
      <c r="C29" s="11" t="str">
        <f>VLOOKUP($A29,TAB,4,FALSE)</f>
        <v>Челябинск
Челябинск</v>
      </c>
      <c r="D29" s="11">
        <f>VLOOKUP($A29,TAB,5,FALSE)</f>
        <v>0</v>
      </c>
      <c r="E29" s="15">
        <f>VLOOKUP($A29,TAB,8,FALSE)</f>
        <v>3.3101851851851851E-3</v>
      </c>
      <c r="F29" s="26"/>
      <c r="G29" s="26">
        <f>VLOOKUP($A29,TAB,70,FALSE)</f>
        <v>66</v>
      </c>
      <c r="H29" s="26">
        <f>VLOOKUP($A29,TAB,101,FALSE)</f>
        <v>66</v>
      </c>
      <c r="I29" s="69"/>
      <c r="J29" s="70"/>
      <c r="K29" s="70"/>
      <c r="L29" s="70"/>
      <c r="M29" s="71"/>
      <c r="N29" s="70"/>
      <c r="O29" s="70"/>
      <c r="P29" s="70"/>
      <c r="Q29" s="25">
        <v>417</v>
      </c>
      <c r="R29" s="11" t="str">
        <f t="shared" si="0"/>
        <v>Голубев Валерий Викторович
Зее Ян Игоревич</v>
      </c>
      <c r="S29" s="11" t="str">
        <f t="shared" si="1"/>
        <v>Челябинск
Челябинск</v>
      </c>
      <c r="T29" s="11">
        <f t="shared" si="2"/>
        <v>0</v>
      </c>
      <c r="U29" s="15">
        <f t="shared" si="3"/>
        <v>0</v>
      </c>
      <c r="V29" s="26">
        <f t="shared" si="4"/>
        <v>0</v>
      </c>
      <c r="W29" s="26">
        <f t="shared" si="5"/>
        <v>0</v>
      </c>
      <c r="X29" s="26">
        <f t="shared" si="6"/>
        <v>0</v>
      </c>
      <c r="Y29" s="15">
        <f t="shared" si="7"/>
        <v>3.2523148148148151E-3</v>
      </c>
      <c r="Z29" s="26">
        <f t="shared" si="8"/>
        <v>0</v>
      </c>
      <c r="AA29" s="26">
        <f t="shared" si="9"/>
        <v>69</v>
      </c>
      <c r="AB29" s="26">
        <f t="shared" si="10"/>
        <v>69</v>
      </c>
      <c r="AC29" s="15">
        <f t="shared" si="11"/>
        <v>2.5810185185185185E-3</v>
      </c>
      <c r="AD29" s="26">
        <f t="shared" si="12"/>
        <v>0</v>
      </c>
      <c r="AE29" s="26">
        <f t="shared" si="13"/>
        <v>69</v>
      </c>
      <c r="AF29" s="26">
        <f t="shared" si="14"/>
        <v>69</v>
      </c>
      <c r="AG29" s="25">
        <v>417</v>
      </c>
      <c r="AH29" s="11" t="str">
        <f t="shared" si="15"/>
        <v>Голубев Валерий Викторович
Зее Ян Игоревич</v>
      </c>
      <c r="AI29" s="11" t="str">
        <f t="shared" si="16"/>
        <v>Челябинск
Челябинск</v>
      </c>
      <c r="AJ29" s="11">
        <f t="shared" si="17"/>
        <v>0</v>
      </c>
      <c r="AK29" s="15">
        <f t="shared" si="18"/>
        <v>3.082407407407407E-3</v>
      </c>
      <c r="AL29" s="26">
        <f>VLOOKUP($AG29,TAB,42,FALSE)</f>
        <v>10</v>
      </c>
      <c r="AM29" s="26">
        <f t="shared" si="19"/>
        <v>60</v>
      </c>
      <c r="AN29" s="26">
        <f t="shared" si="20"/>
        <v>50</v>
      </c>
      <c r="AO29" s="15">
        <f t="shared" si="21"/>
        <v>2.0949074074074073E-3</v>
      </c>
      <c r="AP29" s="26">
        <f>VLOOKUP($AG29,TAB,43,FALSE)</f>
        <v>0</v>
      </c>
      <c r="AQ29" s="26">
        <f t="shared" si="22"/>
        <v>72</v>
      </c>
      <c r="AR29" s="26">
        <f t="shared" si="23"/>
        <v>72</v>
      </c>
      <c r="AS29" s="15">
        <f t="shared" si="24"/>
        <v>2.5925925925925925E-3</v>
      </c>
      <c r="AT29" s="26">
        <f>VLOOKUP($AG29,TAB,44,FALSE)</f>
        <v>0</v>
      </c>
      <c r="AU29" s="26">
        <f t="shared" si="25"/>
        <v>72</v>
      </c>
      <c r="AV29" s="26">
        <f t="shared" si="26"/>
        <v>72</v>
      </c>
      <c r="AW29" s="25">
        <v>417</v>
      </c>
      <c r="AX29" s="11" t="str">
        <f t="shared" si="27"/>
        <v>Голубев Валерий Викторович
Зее Ян Игоревич</v>
      </c>
      <c r="AY29" s="11" t="str">
        <f t="shared" si="28"/>
        <v>Челябинск
Челябинск</v>
      </c>
      <c r="AZ29" s="11">
        <f t="shared" si="29"/>
        <v>0</v>
      </c>
      <c r="BA29" s="15">
        <f t="shared" si="30"/>
        <v>1.8883101851851854E-3</v>
      </c>
      <c r="BB29" s="26">
        <f>VLOOKUP($AW29,TAB,45,FALSE)</f>
        <v>0</v>
      </c>
      <c r="BC29" s="26">
        <f t="shared" si="31"/>
        <v>63</v>
      </c>
      <c r="BD29" s="26">
        <f t="shared" si="32"/>
        <v>63</v>
      </c>
      <c r="BE29" s="15">
        <f t="shared" si="33"/>
        <v>2.3260416666666668E-3</v>
      </c>
      <c r="BF29" s="26">
        <f>VLOOKUP($AW29,TAB,46,FALSE)</f>
        <v>0</v>
      </c>
      <c r="BG29" s="26">
        <f t="shared" si="34"/>
        <v>84</v>
      </c>
      <c r="BH29" s="26">
        <f t="shared" si="35"/>
        <v>84</v>
      </c>
      <c r="BI29" s="15">
        <f t="shared" si="36"/>
        <v>7.1412037037037043E-3</v>
      </c>
      <c r="BJ29" s="26">
        <f>VLOOKUP($AW29,TAB,47,FALSE)</f>
        <v>50</v>
      </c>
      <c r="BK29" s="26">
        <f t="shared" si="37"/>
        <v>56</v>
      </c>
      <c r="BL29" s="26">
        <f t="shared" si="38"/>
        <v>6</v>
      </c>
      <c r="BM29" s="25">
        <v>417</v>
      </c>
      <c r="BN29" s="11" t="str">
        <f t="shared" si="39"/>
        <v>Голубев Валерий Викторович
Зее Ян Игоревич</v>
      </c>
      <c r="BO29" s="11" t="str">
        <f t="shared" si="40"/>
        <v>Челябинск
Челябинск</v>
      </c>
      <c r="BP29" s="11">
        <f t="shared" si="41"/>
        <v>0</v>
      </c>
      <c r="BQ29" s="15">
        <f>VLOOKUP($BM29,TAB,18,FALSE)</f>
        <v>1.8402777777777777E-3</v>
      </c>
      <c r="BR29" s="26">
        <f>VLOOKUP($BM29,TAB,48,FALSE)</f>
        <v>30</v>
      </c>
      <c r="BS29" s="26">
        <f t="shared" si="42"/>
        <v>66</v>
      </c>
      <c r="BT29" s="26">
        <f t="shared" si="43"/>
        <v>36</v>
      </c>
      <c r="BU29" s="15">
        <f>VLOOKUP($BM29,TAB,19,FALSE)</f>
        <v>2.3611111111111111E-3</v>
      </c>
      <c r="BV29" s="26">
        <f t="shared" si="44"/>
        <v>0</v>
      </c>
      <c r="BW29" s="26">
        <f t="shared" si="45"/>
        <v>66</v>
      </c>
      <c r="BX29" s="26">
        <f t="shared" si="46"/>
        <v>66</v>
      </c>
      <c r="BY29" s="15">
        <f>VLOOKUP($BM29,TAB,20,FALSE)</f>
        <v>3.2638888888888891E-3</v>
      </c>
      <c r="BZ29" s="26">
        <f t="shared" si="47"/>
        <v>0</v>
      </c>
      <c r="CA29" s="26">
        <f t="shared" si="48"/>
        <v>58</v>
      </c>
      <c r="CB29" s="26">
        <f t="shared" si="49"/>
        <v>58</v>
      </c>
      <c r="CC29" s="25">
        <v>417</v>
      </c>
      <c r="CD29" s="11" t="str">
        <f t="shared" si="50"/>
        <v>Голубев Валерий Викторович
Зее Ян Игоревич</v>
      </c>
      <c r="CE29" s="11" t="str">
        <f t="shared" si="51"/>
        <v>Челябинск
Челябинск</v>
      </c>
      <c r="CF29" s="11">
        <f t="shared" si="52"/>
        <v>0</v>
      </c>
      <c r="CG29" s="15">
        <f>VLOOKUP($CC29,TAB,21,FALSE)</f>
        <v>2.92037037037037E-3</v>
      </c>
      <c r="CH29" s="26">
        <f t="shared" si="53"/>
        <v>0</v>
      </c>
      <c r="CI29" s="26">
        <f t="shared" si="54"/>
        <v>58</v>
      </c>
      <c r="CJ29" s="26">
        <f t="shared" si="55"/>
        <v>58</v>
      </c>
      <c r="CK29" s="15">
        <f>VLOOKUP($CC29,TAB,22,FALSE)</f>
        <v>0</v>
      </c>
      <c r="CL29" s="26">
        <f t="shared" si="56"/>
        <v>0</v>
      </c>
      <c r="CM29" s="26">
        <f t="shared" si="57"/>
        <v>0</v>
      </c>
      <c r="CN29" s="26">
        <f t="shared" si="58"/>
        <v>0</v>
      </c>
      <c r="CO29" s="15">
        <f>VLOOKUP($CC29,TAB,23,FALSE)</f>
        <v>0</v>
      </c>
      <c r="CP29" s="26">
        <f t="shared" si="59"/>
        <v>0</v>
      </c>
      <c r="CQ29" s="26">
        <f t="shared" si="60"/>
        <v>0</v>
      </c>
      <c r="CR29" s="26">
        <f t="shared" si="61"/>
        <v>0</v>
      </c>
      <c r="CS29" s="11">
        <f t="shared" si="62"/>
        <v>769</v>
      </c>
    </row>
    <row r="30" spans="1:97" s="6" customFormat="1" ht="60" x14ac:dyDescent="0.25">
      <c r="A30" s="25">
        <v>418</v>
      </c>
      <c r="B30" s="11" t="str">
        <f>VLOOKUP($A30,TAB,2,FALSE)</f>
        <v>Слободин Анатолий Олегович
Коровяковский Андрей Алексеевич</v>
      </c>
      <c r="C30" s="11" t="str">
        <f>VLOOKUP($A30,TAB,4,FALSE)</f>
        <v>Сатка
Сатка</v>
      </c>
      <c r="D30" s="11">
        <f>VLOOKUP($A30,TAB,5,FALSE)</f>
        <v>0</v>
      </c>
      <c r="E30" s="15">
        <f>VLOOKUP($A30,TAB,8,FALSE)</f>
        <v>3.0208333333333333E-3</v>
      </c>
      <c r="F30" s="26"/>
      <c r="G30" s="26">
        <f>VLOOKUP($A30,TAB,70,FALSE)</f>
        <v>84</v>
      </c>
      <c r="H30" s="26">
        <f>VLOOKUP($A30,TAB,101,FALSE)</f>
        <v>84</v>
      </c>
      <c r="I30" s="69"/>
      <c r="J30" s="70"/>
      <c r="K30" s="70"/>
      <c r="L30" s="70"/>
      <c r="M30" s="71"/>
      <c r="N30" s="70"/>
      <c r="O30" s="70"/>
      <c r="P30" s="70"/>
      <c r="Q30" s="25">
        <v>418</v>
      </c>
      <c r="R30" s="11" t="str">
        <f t="shared" si="0"/>
        <v>Слободин Анатолий Олегович
Коровяковский Андрей Алексеевич</v>
      </c>
      <c r="S30" s="11" t="str">
        <f t="shared" si="1"/>
        <v>Сатка
Сатка</v>
      </c>
      <c r="T30" s="11">
        <f t="shared" si="2"/>
        <v>0</v>
      </c>
      <c r="U30" s="15">
        <f t="shared" si="3"/>
        <v>0</v>
      </c>
      <c r="V30" s="26">
        <f t="shared" si="4"/>
        <v>0</v>
      </c>
      <c r="W30" s="26">
        <f t="shared" si="5"/>
        <v>0</v>
      </c>
      <c r="X30" s="26">
        <f t="shared" si="6"/>
        <v>0</v>
      </c>
      <c r="Y30" s="15">
        <f t="shared" si="7"/>
        <v>3.530092592592592E-3</v>
      </c>
      <c r="Z30" s="26">
        <f t="shared" si="8"/>
        <v>0</v>
      </c>
      <c r="AA30" s="26">
        <f t="shared" si="9"/>
        <v>66</v>
      </c>
      <c r="AB30" s="26">
        <f t="shared" si="10"/>
        <v>66</v>
      </c>
      <c r="AC30" s="15">
        <f t="shared" si="11"/>
        <v>2.0399305555555557E-3</v>
      </c>
      <c r="AD30" s="26">
        <f t="shared" si="12"/>
        <v>0</v>
      </c>
      <c r="AE30" s="26">
        <f t="shared" si="13"/>
        <v>81</v>
      </c>
      <c r="AF30" s="26">
        <f t="shared" si="14"/>
        <v>81</v>
      </c>
      <c r="AG30" s="25">
        <v>418</v>
      </c>
      <c r="AH30" s="11" t="str">
        <f t="shared" si="15"/>
        <v>Слободин Анатолий Олегович
Коровяковский Андрей Алексеевич</v>
      </c>
      <c r="AI30" s="11" t="str">
        <f t="shared" si="16"/>
        <v>Сатка
Сатка</v>
      </c>
      <c r="AJ30" s="11">
        <f t="shared" si="17"/>
        <v>0</v>
      </c>
      <c r="AK30" s="15">
        <f t="shared" si="18"/>
        <v>2.0486111111111113E-3</v>
      </c>
      <c r="AL30" s="26">
        <f>VLOOKUP($AG30,TAB,42,FALSE)</f>
        <v>0</v>
      </c>
      <c r="AM30" s="26">
        <f t="shared" si="19"/>
        <v>84</v>
      </c>
      <c r="AN30" s="26">
        <f t="shared" si="20"/>
        <v>84</v>
      </c>
      <c r="AO30" s="15">
        <f t="shared" si="21"/>
        <v>1.8634259259259261E-3</v>
      </c>
      <c r="AP30" s="26">
        <f>VLOOKUP($AG30,TAB,43,FALSE)</f>
        <v>0</v>
      </c>
      <c r="AQ30" s="26">
        <f t="shared" si="22"/>
        <v>78</v>
      </c>
      <c r="AR30" s="26">
        <f t="shared" si="23"/>
        <v>78</v>
      </c>
      <c r="AS30" s="15">
        <f t="shared" si="24"/>
        <v>4.0046296296296297E-3</v>
      </c>
      <c r="AT30" s="26">
        <f>VLOOKUP($AG30,TAB,44,FALSE)</f>
        <v>0</v>
      </c>
      <c r="AU30" s="26">
        <f t="shared" si="25"/>
        <v>63</v>
      </c>
      <c r="AV30" s="26">
        <f t="shared" si="26"/>
        <v>63</v>
      </c>
      <c r="AW30" s="25">
        <v>418</v>
      </c>
      <c r="AX30" s="11" t="str">
        <f t="shared" si="27"/>
        <v>Слободин Анатолий Олегович
Коровяковский Андрей Алексеевич</v>
      </c>
      <c r="AY30" s="11" t="str">
        <f t="shared" si="28"/>
        <v>Сатка
Сатка</v>
      </c>
      <c r="AZ30" s="11">
        <f t="shared" si="29"/>
        <v>0</v>
      </c>
      <c r="BA30" s="15">
        <f t="shared" si="30"/>
        <v>2.0702546296296298E-3</v>
      </c>
      <c r="BB30" s="26">
        <f>VLOOKUP($AW30,TAB,45,FALSE)</f>
        <v>0</v>
      </c>
      <c r="BC30" s="26">
        <f t="shared" si="31"/>
        <v>58</v>
      </c>
      <c r="BD30" s="26">
        <f t="shared" si="32"/>
        <v>58</v>
      </c>
      <c r="BE30" s="15">
        <f t="shared" si="33"/>
        <v>4.9579861111111109E-3</v>
      </c>
      <c r="BF30" s="26">
        <f>VLOOKUP($AW30,TAB,46,FALSE)</f>
        <v>0</v>
      </c>
      <c r="BG30" s="26">
        <f t="shared" si="34"/>
        <v>60</v>
      </c>
      <c r="BH30" s="26">
        <f t="shared" si="35"/>
        <v>60</v>
      </c>
      <c r="BI30" s="15">
        <f t="shared" si="36"/>
        <v>4.0277777777777777E-3</v>
      </c>
      <c r="BJ30" s="26">
        <f>VLOOKUP($AW30,TAB,47,FALSE)</f>
        <v>0</v>
      </c>
      <c r="BK30" s="26">
        <f t="shared" si="37"/>
        <v>75</v>
      </c>
      <c r="BL30" s="26">
        <f t="shared" si="38"/>
        <v>75</v>
      </c>
      <c r="BM30" s="25">
        <v>418</v>
      </c>
      <c r="BN30" s="11" t="str">
        <f t="shared" si="39"/>
        <v>Слободин Анатолий Олегович
Коровяковский Андрей Алексеевич</v>
      </c>
      <c r="BO30" s="11" t="str">
        <f t="shared" si="40"/>
        <v>Сатка
Сатка</v>
      </c>
      <c r="BP30" s="11">
        <f t="shared" si="41"/>
        <v>0</v>
      </c>
      <c r="BQ30" s="15">
        <f>VLOOKUP($BM30,TAB,18,FALSE)</f>
        <v>1.6087962962962963E-3</v>
      </c>
      <c r="BR30" s="26">
        <f>VLOOKUP($BM30,TAB,48,FALSE)</f>
        <v>0</v>
      </c>
      <c r="BS30" s="26">
        <f t="shared" si="42"/>
        <v>75</v>
      </c>
      <c r="BT30" s="26">
        <f t="shared" si="43"/>
        <v>75</v>
      </c>
      <c r="BU30" s="15">
        <f>VLOOKUP($BM30,TAB,19,FALSE)</f>
        <v>1.8402777777777777E-3</v>
      </c>
      <c r="BV30" s="26">
        <f t="shared" si="44"/>
        <v>0</v>
      </c>
      <c r="BW30" s="26">
        <f t="shared" si="45"/>
        <v>75</v>
      </c>
      <c r="BX30" s="26">
        <f t="shared" si="46"/>
        <v>75</v>
      </c>
      <c r="BY30" s="15">
        <f>VLOOKUP($BM30,TAB,20,FALSE)</f>
        <v>2.6388888888888885E-3</v>
      </c>
      <c r="BZ30" s="26">
        <f t="shared" si="47"/>
        <v>0</v>
      </c>
      <c r="CA30" s="26">
        <f t="shared" si="48"/>
        <v>69</v>
      </c>
      <c r="CB30" s="26">
        <f t="shared" si="49"/>
        <v>69</v>
      </c>
      <c r="CC30" s="25">
        <v>418</v>
      </c>
      <c r="CD30" s="11" t="str">
        <f t="shared" si="50"/>
        <v>Слободин Анатолий Олегович
Коровяковский Андрей Алексеевич</v>
      </c>
      <c r="CE30" s="11" t="str">
        <f t="shared" si="51"/>
        <v>Сатка
Сатка</v>
      </c>
      <c r="CF30" s="11">
        <f t="shared" si="52"/>
        <v>0</v>
      </c>
      <c r="CG30" s="15">
        <f>VLOOKUP($CC30,TAB,21,FALSE)</f>
        <v>2.7195601851851855E-3</v>
      </c>
      <c r="CH30" s="26">
        <f t="shared" si="53"/>
        <v>0</v>
      </c>
      <c r="CI30" s="26">
        <f t="shared" si="54"/>
        <v>63</v>
      </c>
      <c r="CJ30" s="26">
        <f t="shared" si="55"/>
        <v>63</v>
      </c>
      <c r="CK30" s="15">
        <f>VLOOKUP($CC30,TAB,22,FALSE)</f>
        <v>0</v>
      </c>
      <c r="CL30" s="26">
        <f t="shared" si="56"/>
        <v>0</v>
      </c>
      <c r="CM30" s="26">
        <f t="shared" si="57"/>
        <v>0</v>
      </c>
      <c r="CN30" s="26">
        <f t="shared" si="58"/>
        <v>0</v>
      </c>
      <c r="CO30" s="15">
        <f>VLOOKUP($CC30,TAB,23,FALSE)</f>
        <v>0</v>
      </c>
      <c r="CP30" s="26">
        <f t="shared" si="59"/>
        <v>0</v>
      </c>
      <c r="CQ30" s="26">
        <f t="shared" si="60"/>
        <v>0</v>
      </c>
      <c r="CR30" s="26">
        <f t="shared" si="61"/>
        <v>0</v>
      </c>
      <c r="CS30" s="11">
        <f t="shared" si="62"/>
        <v>931</v>
      </c>
    </row>
    <row r="31" spans="1:97" s="36" customFormat="1" x14ac:dyDescent="0.25">
      <c r="A31" s="32"/>
      <c r="B31" s="33"/>
      <c r="C31" s="33"/>
      <c r="D31" s="33"/>
      <c r="E31" s="34"/>
      <c r="F31" s="35"/>
      <c r="G31" s="35"/>
      <c r="H31" s="35"/>
      <c r="I31" s="34"/>
      <c r="J31" s="35"/>
      <c r="K31" s="35"/>
      <c r="L31" s="35"/>
      <c r="M31" s="34"/>
      <c r="N31" s="35"/>
      <c r="O31" s="35"/>
      <c r="P31" s="35"/>
      <c r="Q31" s="32"/>
      <c r="R31" s="33"/>
      <c r="S31" s="33"/>
      <c r="T31" s="33"/>
      <c r="U31" s="34"/>
      <c r="V31" s="35"/>
      <c r="W31" s="35"/>
      <c r="X31" s="35"/>
      <c r="Y31" s="34"/>
      <c r="Z31" s="35"/>
      <c r="AA31" s="35"/>
      <c r="AB31" s="35"/>
      <c r="AC31" s="34"/>
      <c r="AD31" s="35"/>
      <c r="AE31" s="35"/>
      <c r="AF31" s="35"/>
      <c r="AG31" s="32"/>
      <c r="AH31" s="33"/>
      <c r="AI31" s="33"/>
      <c r="AJ31" s="33"/>
      <c r="AK31" s="34"/>
      <c r="AL31" s="35"/>
      <c r="AM31" s="35"/>
      <c r="AN31" s="35"/>
      <c r="AO31" s="34"/>
      <c r="AP31" s="35"/>
      <c r="AQ31" s="35"/>
      <c r="AR31" s="35"/>
      <c r="AS31" s="34"/>
      <c r="AT31" s="35"/>
      <c r="AU31" s="35"/>
      <c r="AV31" s="35"/>
      <c r="AW31" s="32"/>
      <c r="AX31" s="33"/>
      <c r="AY31" s="33"/>
      <c r="AZ31" s="33"/>
      <c r="BA31" s="34"/>
      <c r="BB31" s="35"/>
      <c r="BC31" s="35"/>
      <c r="BD31" s="35"/>
      <c r="BE31" s="34"/>
      <c r="BF31" s="35"/>
      <c r="BG31" s="35"/>
      <c r="BH31" s="35"/>
      <c r="BI31" s="34"/>
      <c r="BJ31" s="35"/>
      <c r="BK31" s="35"/>
      <c r="BL31" s="35"/>
      <c r="BM31" s="32"/>
      <c r="BN31" s="33"/>
      <c r="BO31" s="33"/>
      <c r="BP31" s="33"/>
      <c r="BQ31" s="34"/>
      <c r="BR31" s="35"/>
      <c r="BS31" s="35"/>
      <c r="BT31" s="35"/>
      <c r="BU31" s="34"/>
      <c r="BV31" s="35"/>
      <c r="BW31" s="35"/>
      <c r="BX31" s="35"/>
      <c r="BY31" s="34"/>
      <c r="BZ31" s="35"/>
      <c r="CA31" s="35"/>
      <c r="CB31" s="35"/>
      <c r="CC31" s="32"/>
      <c r="CD31" s="33"/>
      <c r="CE31" s="33"/>
      <c r="CF31" s="33"/>
      <c r="CG31" s="34"/>
      <c r="CH31" s="35"/>
      <c r="CI31" s="35"/>
      <c r="CJ31" s="35"/>
      <c r="CK31" s="34"/>
      <c r="CL31" s="35"/>
      <c r="CM31" s="35"/>
      <c r="CN31" s="35"/>
      <c r="CO31" s="34"/>
      <c r="CP31" s="35"/>
      <c r="CQ31" s="35"/>
      <c r="CR31" s="35"/>
    </row>
    <row r="32" spans="1:97" s="36" customFormat="1" x14ac:dyDescent="0.25">
      <c r="A32" s="63"/>
      <c r="B32" s="33" t="s">
        <v>357</v>
      </c>
      <c r="C32" s="33"/>
      <c r="D32" s="37" t="s">
        <v>358</v>
      </c>
      <c r="E32" s="34"/>
      <c r="F32" s="35"/>
      <c r="G32" s="35"/>
      <c r="H32" s="35"/>
      <c r="I32" s="34"/>
      <c r="J32" s="35"/>
      <c r="K32" s="37"/>
      <c r="L32" s="35"/>
      <c r="M32" s="34"/>
      <c r="N32" s="35"/>
      <c r="O32" s="35"/>
      <c r="P32" s="35"/>
      <c r="Q32" s="32"/>
      <c r="R32" s="33"/>
      <c r="S32" s="33"/>
      <c r="T32" s="33"/>
      <c r="U32" s="34"/>
      <c r="V32" s="35"/>
      <c r="W32" s="35"/>
      <c r="X32" s="35"/>
      <c r="Y32" s="34"/>
      <c r="Z32" s="35"/>
      <c r="AA32" s="37"/>
      <c r="AB32" s="35"/>
      <c r="AC32" s="34"/>
      <c r="AD32" s="35"/>
      <c r="AE32" s="35"/>
      <c r="AF32" s="35"/>
      <c r="AG32" s="32"/>
      <c r="AH32" s="33"/>
      <c r="AI32" s="33"/>
      <c r="AJ32" s="33"/>
      <c r="AK32" s="34"/>
      <c r="AL32" s="35"/>
      <c r="AM32" s="35"/>
      <c r="AN32" s="35"/>
      <c r="AO32" s="34"/>
      <c r="AP32" s="35"/>
      <c r="AQ32" s="37"/>
      <c r="AR32" s="35"/>
      <c r="AS32" s="34"/>
      <c r="AT32" s="35"/>
      <c r="AU32" s="35"/>
      <c r="AV32" s="35"/>
      <c r="AW32" s="32"/>
      <c r="AX32" s="33"/>
      <c r="AY32" s="33"/>
      <c r="AZ32" s="33"/>
      <c r="BA32" s="34"/>
      <c r="BB32" s="35"/>
      <c r="BC32" s="35"/>
      <c r="BD32" s="35"/>
      <c r="BE32" s="34"/>
      <c r="BF32" s="35"/>
      <c r="BG32" s="37"/>
      <c r="BH32" s="35"/>
      <c r="BI32" s="34"/>
      <c r="BJ32" s="35"/>
      <c r="BK32" s="35"/>
      <c r="BL32" s="35"/>
      <c r="BM32" s="32"/>
      <c r="BN32" s="33"/>
      <c r="BO32" s="33"/>
      <c r="BP32" s="33"/>
      <c r="BQ32" s="34"/>
      <c r="BR32" s="35"/>
      <c r="BS32" s="35"/>
      <c r="BT32" s="35"/>
      <c r="BU32" s="34"/>
      <c r="BV32" s="35"/>
      <c r="BW32" s="37"/>
      <c r="BX32" s="35"/>
      <c r="BY32" s="34"/>
      <c r="BZ32" s="35"/>
      <c r="CA32" s="35"/>
      <c r="CB32" s="35"/>
      <c r="CC32" s="32"/>
      <c r="CD32" s="33"/>
      <c r="CE32" s="33"/>
      <c r="CF32" s="33"/>
      <c r="CG32" s="34"/>
      <c r="CH32" s="35"/>
      <c r="CI32" s="35"/>
      <c r="CJ32" s="35"/>
      <c r="CK32" s="34"/>
      <c r="CL32" s="35"/>
      <c r="CM32" s="37"/>
      <c r="CN32" s="35"/>
      <c r="CO32" s="34"/>
      <c r="CP32" s="35"/>
      <c r="CQ32" s="35"/>
      <c r="CR32" s="35"/>
    </row>
    <row r="33" spans="1:96" s="36" customFormat="1" x14ac:dyDescent="0.25">
      <c r="A33" s="63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32"/>
      <c r="AX33" s="33"/>
      <c r="AY33" s="33"/>
      <c r="AZ33" s="33"/>
      <c r="BA33" s="34"/>
      <c r="BB33" s="35"/>
      <c r="BC33" s="35"/>
      <c r="BD33" s="35"/>
      <c r="BE33" s="34"/>
      <c r="BF33" s="35"/>
      <c r="BG33" s="35"/>
      <c r="BH33" s="35"/>
      <c r="BI33" s="34"/>
      <c r="BJ33" s="35"/>
      <c r="BK33" s="35"/>
      <c r="BL33" s="35"/>
      <c r="BM33" s="32"/>
      <c r="BN33" s="33"/>
      <c r="BO33" s="33"/>
      <c r="BP33" s="33"/>
      <c r="BQ33" s="34"/>
      <c r="BR33" s="35"/>
      <c r="BS33" s="35"/>
      <c r="BT33" s="35"/>
      <c r="BU33" s="34"/>
      <c r="BV33" s="35"/>
      <c r="BW33" s="35"/>
      <c r="BX33" s="35"/>
      <c r="BY33" s="34"/>
      <c r="BZ33" s="35"/>
      <c r="CA33" s="35"/>
      <c r="CB33" s="35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</row>
    <row r="34" spans="1:96" s="29" customFormat="1" ht="15" customHeight="1" x14ac:dyDescent="0.25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</row>
    <row r="35" spans="1:96" s="29" customFormat="1" x14ac:dyDescent="0.25">
      <c r="A35" s="63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</row>
    <row r="36" spans="1:96" s="6" customFormat="1" x14ac:dyDescent="0.25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</row>
    <row r="37" spans="1:96" s="6" customFormat="1" x14ac:dyDescent="0.25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</row>
    <row r="38" spans="1:96" s="6" customFormat="1" x14ac:dyDescent="0.25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</row>
    <row r="39" spans="1:96" s="6" customFormat="1" x14ac:dyDescent="0.25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</row>
    <row r="40" spans="1:96" s="6" customForma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</row>
    <row r="41" spans="1:96" s="6" customFormat="1" x14ac:dyDescent="0.25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</row>
    <row r="42" spans="1:96" s="6" customFormat="1" x14ac:dyDescent="0.25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</row>
    <row r="43" spans="1:96" s="6" customFormat="1" x14ac:dyDescent="0.25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</row>
    <row r="44" spans="1:96" s="6" customFormat="1" x14ac:dyDescent="0.25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</row>
    <row r="45" spans="1:96" s="6" customFormat="1" x14ac:dyDescent="0.25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</row>
    <row r="46" spans="1:96" s="6" customFormat="1" x14ac:dyDescent="0.25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</row>
    <row r="47" spans="1:96" s="6" customFormat="1" x14ac:dyDescent="0.25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</row>
    <row r="48" spans="1:96" s="6" customFormat="1" x14ac:dyDescent="0.25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</row>
    <row r="49" spans="1:96" s="6" customFormat="1" x14ac:dyDescent="0.25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</row>
    <row r="50" spans="1:96" s="6" customFormat="1" x14ac:dyDescent="0.25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</row>
    <row r="51" spans="1:96" s="36" customFormat="1" ht="10.5" customHeight="1" x14ac:dyDescent="0.25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</row>
    <row r="52" spans="1:96" s="36" customFormat="1" x14ac:dyDescent="0.25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</row>
    <row r="53" spans="1:96" s="36" customFormat="1" x14ac:dyDescent="0.25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</row>
    <row r="54" spans="1:96" s="29" customFormat="1" ht="15" customHeight="1" x14ac:dyDescent="0.25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</row>
    <row r="55" spans="1:96" s="29" customFormat="1" x14ac:dyDescent="0.25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</row>
    <row r="56" spans="1:96" s="6" customFormat="1" x14ac:dyDescent="0.25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</row>
    <row r="57" spans="1:96" s="6" customFormat="1" x14ac:dyDescent="0.25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</row>
    <row r="58" spans="1:96" s="6" customFormat="1" x14ac:dyDescent="0.25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</row>
    <row r="59" spans="1:96" s="6" customFormat="1" x14ac:dyDescent="0.25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</row>
    <row r="60" spans="1:96" s="6" customFormat="1" x14ac:dyDescent="0.25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</row>
    <row r="61" spans="1:96" s="6" customFormat="1" x14ac:dyDescent="0.25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</row>
    <row r="62" spans="1:96" s="6" customFormat="1" x14ac:dyDescent="0.25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</row>
    <row r="63" spans="1:96" s="6" customFormat="1" x14ac:dyDescent="0.25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</row>
    <row r="64" spans="1:96" s="6" customFormat="1" x14ac:dyDescent="0.25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</row>
    <row r="65" spans="1:96" s="6" customFormat="1" x14ac:dyDescent="0.25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</row>
    <row r="66" spans="1:96" s="6" customFormat="1" x14ac:dyDescent="0.25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</row>
    <row r="67" spans="1:96" s="6" customFormat="1" x14ac:dyDescent="0.25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</row>
    <row r="68" spans="1:96" s="6" customFormat="1" x14ac:dyDescent="0.25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</row>
    <row r="69" spans="1:96" s="6" customFormat="1" x14ac:dyDescent="0.25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</row>
    <row r="70" spans="1:96" s="6" customFormat="1" x14ac:dyDescent="0.25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</row>
    <row r="71" spans="1:96" s="36" customFormat="1" ht="10.5" customHeight="1" x14ac:dyDescent="0.25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</row>
    <row r="72" spans="1:96" s="36" customFormat="1" x14ac:dyDescent="0.25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</row>
    <row r="73" spans="1:96" s="36" customFormat="1" x14ac:dyDescent="0.25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</row>
    <row r="74" spans="1:96" s="29" customFormat="1" ht="15" customHeight="1" x14ac:dyDescent="0.25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</row>
    <row r="75" spans="1:96" s="29" customFormat="1" x14ac:dyDescent="0.25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</row>
    <row r="76" spans="1:96" s="6" customFormat="1" x14ac:dyDescent="0.25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</row>
    <row r="77" spans="1:96" s="6" customFormat="1" x14ac:dyDescent="0.25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</row>
    <row r="78" spans="1:96" s="6" customFormat="1" x14ac:dyDescent="0.25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</row>
    <row r="79" spans="1:96" s="6" customFormat="1" x14ac:dyDescent="0.25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</row>
    <row r="80" spans="1:96" s="6" customFormat="1" x14ac:dyDescent="0.25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</row>
    <row r="81" spans="1:96" s="6" customFormat="1" x14ac:dyDescent="0.25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</row>
    <row r="82" spans="1:96" s="6" customFormat="1" x14ac:dyDescent="0.25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</row>
    <row r="83" spans="1:96" s="6" customFormat="1" x14ac:dyDescent="0.25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</row>
    <row r="84" spans="1:96" s="6" customFormat="1" x14ac:dyDescent="0.25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</row>
    <row r="85" spans="1:96" s="6" customFormat="1" x14ac:dyDescent="0.25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</row>
    <row r="86" spans="1:96" s="6" customFormat="1" x14ac:dyDescent="0.25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</row>
    <row r="87" spans="1:96" s="6" customFormat="1" x14ac:dyDescent="0.25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</row>
    <row r="88" spans="1:96" s="6" customFormat="1" x14ac:dyDescent="0.25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</row>
    <row r="89" spans="1:96" s="6" customFormat="1" x14ac:dyDescent="0.25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</row>
    <row r="90" spans="1:96" s="6" customFormat="1" x14ac:dyDescent="0.25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63"/>
      <c r="BX90" s="63"/>
      <c r="BY90" s="63"/>
      <c r="BZ90" s="63"/>
      <c r="CA90" s="63"/>
      <c r="CB90" s="63"/>
      <c r="CC90" s="63"/>
      <c r="CD90" s="63"/>
      <c r="CE90" s="63"/>
      <c r="CF90" s="63"/>
      <c r="CG90" s="63"/>
      <c r="CH90" s="63"/>
      <c r="CI90" s="63"/>
      <c r="CJ90" s="63"/>
      <c r="CK90" s="63"/>
      <c r="CL90" s="63"/>
      <c r="CM90" s="63"/>
      <c r="CN90" s="63"/>
      <c r="CO90" s="63"/>
      <c r="CP90" s="63"/>
      <c r="CQ90" s="63"/>
      <c r="CR90" s="63"/>
    </row>
    <row r="91" spans="1:96" s="36" customFormat="1" ht="8.25" customHeight="1" x14ac:dyDescent="0.25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</row>
    <row r="92" spans="1:96" s="36" customFormat="1" x14ac:dyDescent="0.25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63"/>
      <c r="CF92" s="63"/>
      <c r="CG92" s="63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</row>
    <row r="93" spans="1:96" s="36" customFormat="1" x14ac:dyDescent="0.25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63"/>
      <c r="CF93" s="63"/>
      <c r="CG93" s="63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</row>
    <row r="94" spans="1:96" s="29" customFormat="1" ht="15" customHeight="1" x14ac:dyDescent="0.25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63"/>
      <c r="BR94" s="63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63"/>
      <c r="CE94" s="63"/>
      <c r="CF94" s="63"/>
      <c r="CG94" s="63"/>
      <c r="CH94" s="63"/>
      <c r="CI94" s="63"/>
      <c r="CJ94" s="63"/>
      <c r="CK94" s="63"/>
      <c r="CL94" s="63"/>
      <c r="CM94" s="63"/>
      <c r="CN94" s="63"/>
      <c r="CO94" s="63"/>
      <c r="CP94" s="63"/>
      <c r="CQ94" s="63"/>
      <c r="CR94" s="63"/>
    </row>
    <row r="95" spans="1:96" s="29" customFormat="1" x14ac:dyDescent="0.2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  <c r="CA95" s="63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</row>
    <row r="96" spans="1:96" s="6" customFormat="1" x14ac:dyDescent="0.25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  <c r="BW96" s="63"/>
      <c r="BX96" s="63"/>
      <c r="BY96" s="63"/>
      <c r="BZ96" s="63"/>
      <c r="CA96" s="63"/>
      <c r="CB96" s="63"/>
      <c r="CC96" s="63"/>
      <c r="CD96" s="63"/>
      <c r="CE96" s="63"/>
      <c r="CF96" s="63"/>
      <c r="CG96" s="63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</row>
    <row r="97" spans="1:96" s="6" customFormat="1" x14ac:dyDescent="0.25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</row>
    <row r="98" spans="1:96" s="6" customFormat="1" x14ac:dyDescent="0.25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</row>
    <row r="99" spans="1:96" s="6" customFormat="1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BY99" s="63"/>
      <c r="BZ99" s="63"/>
      <c r="CA99" s="63"/>
      <c r="CB99" s="63"/>
      <c r="CC99" s="63"/>
      <c r="CD99" s="63"/>
      <c r="CE99" s="63"/>
      <c r="CF99" s="63"/>
      <c r="CG99" s="63"/>
      <c r="CH99" s="63"/>
      <c r="CI99" s="63"/>
      <c r="CJ99" s="63"/>
      <c r="CK99" s="63"/>
      <c r="CL99" s="63"/>
      <c r="CM99" s="63"/>
      <c r="CN99" s="63"/>
      <c r="CO99" s="63"/>
      <c r="CP99" s="63"/>
      <c r="CQ99" s="63"/>
      <c r="CR99" s="63"/>
    </row>
    <row r="100" spans="1:96" s="6" customFormat="1" x14ac:dyDescent="0.25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63"/>
      <c r="BO100" s="63"/>
      <c r="BP100" s="63"/>
      <c r="BQ100" s="63"/>
      <c r="BR100" s="63"/>
      <c r="BS100" s="63"/>
      <c r="BT100" s="63"/>
      <c r="BU100" s="63"/>
      <c r="BV100" s="63"/>
      <c r="BW100" s="63"/>
      <c r="BX100" s="63"/>
      <c r="BY100" s="63"/>
      <c r="BZ100" s="63"/>
      <c r="CA100" s="63"/>
      <c r="CB100" s="63"/>
      <c r="CC100" s="63"/>
      <c r="CD100" s="63"/>
      <c r="CE100" s="63"/>
      <c r="CF100" s="63"/>
      <c r="CG100" s="63"/>
      <c r="CH100" s="63"/>
      <c r="CI100" s="63"/>
      <c r="CJ100" s="63"/>
      <c r="CK100" s="63"/>
      <c r="CL100" s="63"/>
      <c r="CM100" s="63"/>
      <c r="CN100" s="63"/>
      <c r="CO100" s="63"/>
      <c r="CP100" s="63"/>
      <c r="CQ100" s="63"/>
      <c r="CR100" s="63"/>
    </row>
    <row r="101" spans="1:96" s="6" customFormat="1" x14ac:dyDescent="0.25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63"/>
      <c r="BO101" s="63"/>
      <c r="BP101" s="63"/>
      <c r="BQ101" s="63"/>
      <c r="BR101" s="63"/>
      <c r="BS101" s="63"/>
      <c r="BT101" s="63"/>
      <c r="BU101" s="63"/>
      <c r="BV101" s="63"/>
      <c r="BW101" s="63"/>
      <c r="BX101" s="63"/>
      <c r="BY101" s="63"/>
      <c r="BZ101" s="63"/>
      <c r="CA101" s="63"/>
      <c r="CB101" s="63"/>
      <c r="CC101" s="63"/>
      <c r="CD101" s="63"/>
      <c r="CE101" s="63"/>
      <c r="CF101" s="63"/>
      <c r="CG101" s="63"/>
      <c r="CH101" s="63"/>
      <c r="CI101" s="63"/>
      <c r="CJ101" s="63"/>
      <c r="CK101" s="63"/>
      <c r="CL101" s="63"/>
      <c r="CM101" s="63"/>
      <c r="CN101" s="63"/>
      <c r="CO101" s="63"/>
      <c r="CP101" s="63"/>
      <c r="CQ101" s="63"/>
      <c r="CR101" s="63"/>
    </row>
    <row r="102" spans="1:96" s="6" customFormat="1" x14ac:dyDescent="0.25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  <c r="CA102" s="63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</row>
    <row r="103" spans="1:96" s="6" customFormat="1" x14ac:dyDescent="0.25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  <c r="BN103" s="63"/>
      <c r="BO103" s="63"/>
      <c r="BP103" s="63"/>
      <c r="BQ103" s="63"/>
      <c r="BR103" s="63"/>
      <c r="BS103" s="63"/>
      <c r="BT103" s="63"/>
      <c r="BU103" s="63"/>
      <c r="BV103" s="63"/>
      <c r="BW103" s="63"/>
      <c r="BX103" s="63"/>
      <c r="BY103" s="63"/>
      <c r="BZ103" s="63"/>
      <c r="CA103" s="63"/>
      <c r="CB103" s="63"/>
      <c r="CC103" s="63"/>
      <c r="CD103" s="63"/>
      <c r="CE103" s="63"/>
      <c r="CF103" s="63"/>
      <c r="CG103" s="63"/>
      <c r="CH103" s="63"/>
      <c r="CI103" s="63"/>
      <c r="CJ103" s="63"/>
      <c r="CK103" s="63"/>
      <c r="CL103" s="63"/>
      <c r="CM103" s="63"/>
      <c r="CN103" s="63"/>
      <c r="CO103" s="63"/>
      <c r="CP103" s="63"/>
      <c r="CQ103" s="63"/>
      <c r="CR103" s="63"/>
    </row>
    <row r="104" spans="1:96" s="6" customFormat="1" x14ac:dyDescent="0.25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63"/>
      <c r="BN104" s="63"/>
      <c r="BO104" s="63"/>
      <c r="BP104" s="63"/>
      <c r="BQ104" s="63"/>
      <c r="BR104" s="63"/>
      <c r="BS104" s="63"/>
      <c r="BT104" s="63"/>
      <c r="BU104" s="63"/>
      <c r="BV104" s="63"/>
      <c r="BW104" s="63"/>
      <c r="BX104" s="63"/>
      <c r="BY104" s="63"/>
      <c r="BZ104" s="63"/>
      <c r="CA104" s="63"/>
      <c r="CB104" s="63"/>
      <c r="CC104" s="63"/>
      <c r="CD104" s="63"/>
      <c r="CE104" s="63"/>
      <c r="CF104" s="63"/>
      <c r="CG104" s="63"/>
      <c r="CH104" s="63"/>
      <c r="CI104" s="63"/>
      <c r="CJ104" s="63"/>
      <c r="CK104" s="63"/>
      <c r="CL104" s="63"/>
      <c r="CM104" s="63"/>
      <c r="CN104" s="63"/>
      <c r="CO104" s="63"/>
      <c r="CP104" s="63"/>
      <c r="CQ104" s="63"/>
      <c r="CR104" s="63"/>
    </row>
    <row r="105" spans="1:96" s="6" customFormat="1" x14ac:dyDescent="0.2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63"/>
      <c r="BO105" s="63"/>
      <c r="BP105" s="63"/>
      <c r="BQ105" s="63"/>
      <c r="BR105" s="63"/>
      <c r="BS105" s="63"/>
      <c r="BT105" s="63"/>
      <c r="BU105" s="63"/>
      <c r="BV105" s="63"/>
      <c r="BW105" s="63"/>
      <c r="BX105" s="63"/>
      <c r="BY105" s="63"/>
      <c r="BZ105" s="63"/>
      <c r="CA105" s="63"/>
      <c r="CB105" s="63"/>
      <c r="CC105" s="63"/>
      <c r="CD105" s="63"/>
      <c r="CE105" s="63"/>
      <c r="CF105" s="63"/>
      <c r="CG105" s="63"/>
      <c r="CH105" s="63"/>
      <c r="CI105" s="63"/>
      <c r="CJ105" s="63"/>
      <c r="CK105" s="63"/>
      <c r="CL105" s="63"/>
      <c r="CM105" s="63"/>
      <c r="CN105" s="63"/>
      <c r="CO105" s="63"/>
      <c r="CP105" s="63"/>
      <c r="CQ105" s="63"/>
      <c r="CR105" s="63"/>
    </row>
    <row r="106" spans="1:96" s="6" customFormat="1" x14ac:dyDescent="0.25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BJ106" s="63"/>
      <c r="BK106" s="63"/>
      <c r="BL106" s="63"/>
      <c r="BM106" s="63"/>
      <c r="BN106" s="63"/>
      <c r="BO106" s="63"/>
      <c r="BP106" s="63"/>
      <c r="BQ106" s="63"/>
      <c r="BR106" s="63"/>
      <c r="BS106" s="63"/>
      <c r="BT106" s="63"/>
      <c r="BU106" s="63"/>
      <c r="BV106" s="63"/>
      <c r="BW106" s="63"/>
      <c r="BX106" s="63"/>
      <c r="BY106" s="63"/>
      <c r="BZ106" s="63"/>
      <c r="CA106" s="63"/>
      <c r="CB106" s="63"/>
      <c r="CC106" s="63"/>
      <c r="CD106" s="63"/>
      <c r="CE106" s="63"/>
      <c r="CF106" s="63"/>
      <c r="CG106" s="63"/>
      <c r="CH106" s="63"/>
      <c r="CI106" s="63"/>
      <c r="CJ106" s="63"/>
      <c r="CK106" s="63"/>
      <c r="CL106" s="63"/>
      <c r="CM106" s="63"/>
      <c r="CN106" s="63"/>
      <c r="CO106" s="63"/>
      <c r="CP106" s="63"/>
      <c r="CQ106" s="63"/>
      <c r="CR106" s="63"/>
    </row>
    <row r="107" spans="1:96" s="6" customFormat="1" x14ac:dyDescent="0.25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  <c r="AX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  <c r="BL107" s="63"/>
      <c r="BM107" s="63"/>
      <c r="BN107" s="63"/>
      <c r="BO107" s="63"/>
      <c r="BP107" s="63"/>
      <c r="BQ107" s="63"/>
      <c r="BR107" s="63"/>
      <c r="BS107" s="63"/>
      <c r="BT107" s="63"/>
      <c r="BU107" s="63"/>
      <c r="BV107" s="63"/>
      <c r="BW107" s="63"/>
      <c r="BX107" s="63"/>
      <c r="BY107" s="63"/>
      <c r="BZ107" s="63"/>
      <c r="CA107" s="63"/>
      <c r="CB107" s="63"/>
      <c r="CC107" s="63"/>
      <c r="CD107" s="63"/>
      <c r="CE107" s="63"/>
      <c r="CF107" s="63"/>
      <c r="CG107" s="63"/>
      <c r="CH107" s="63"/>
      <c r="CI107" s="63"/>
      <c r="CJ107" s="63"/>
      <c r="CK107" s="63"/>
      <c r="CL107" s="63"/>
      <c r="CM107" s="63"/>
      <c r="CN107" s="63"/>
      <c r="CO107" s="63"/>
      <c r="CP107" s="63"/>
      <c r="CQ107" s="63"/>
      <c r="CR107" s="63"/>
    </row>
    <row r="108" spans="1:96" s="6" customFormat="1" x14ac:dyDescent="0.25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  <c r="BN108" s="63"/>
      <c r="BO108" s="63"/>
      <c r="BP108" s="63"/>
      <c r="BQ108" s="63"/>
      <c r="BR108" s="63"/>
      <c r="BS108" s="63"/>
      <c r="BT108" s="63"/>
      <c r="BU108" s="63"/>
      <c r="BV108" s="63"/>
      <c r="BW108" s="63"/>
      <c r="BX108" s="63"/>
      <c r="BY108" s="63"/>
      <c r="BZ108" s="63"/>
      <c r="CA108" s="63"/>
      <c r="CB108" s="63"/>
      <c r="CC108" s="63"/>
      <c r="CD108" s="63"/>
      <c r="CE108" s="63"/>
      <c r="CF108" s="63"/>
      <c r="CG108" s="63"/>
      <c r="CH108" s="63"/>
      <c r="CI108" s="63"/>
      <c r="CJ108" s="63"/>
      <c r="CK108" s="63"/>
      <c r="CL108" s="63"/>
      <c r="CM108" s="63"/>
      <c r="CN108" s="63"/>
      <c r="CO108" s="63"/>
      <c r="CP108" s="63"/>
      <c r="CQ108" s="63"/>
      <c r="CR108" s="63"/>
    </row>
    <row r="109" spans="1:96" s="6" customFormat="1" x14ac:dyDescent="0.25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  <c r="BN109" s="63"/>
      <c r="BO109" s="63"/>
      <c r="BP109" s="63"/>
      <c r="BQ109" s="63"/>
      <c r="BR109" s="63"/>
      <c r="BS109" s="63"/>
      <c r="BT109" s="63"/>
      <c r="BU109" s="63"/>
      <c r="BV109" s="63"/>
      <c r="BW109" s="63"/>
      <c r="BX109" s="63"/>
      <c r="BY109" s="63"/>
      <c r="BZ109" s="63"/>
      <c r="CA109" s="63"/>
      <c r="CB109" s="63"/>
      <c r="CC109" s="63"/>
      <c r="CD109" s="63"/>
      <c r="CE109" s="63"/>
      <c r="CF109" s="63"/>
      <c r="CG109" s="63"/>
      <c r="CH109" s="63"/>
      <c r="CI109" s="63"/>
      <c r="CJ109" s="63"/>
      <c r="CK109" s="63"/>
      <c r="CL109" s="63"/>
      <c r="CM109" s="63"/>
      <c r="CN109" s="63"/>
      <c r="CO109" s="63"/>
      <c r="CP109" s="63"/>
      <c r="CQ109" s="63"/>
      <c r="CR109" s="63"/>
    </row>
    <row r="110" spans="1:96" s="6" customFormat="1" x14ac:dyDescent="0.25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AX110" s="63"/>
      <c r="AY110" s="63"/>
      <c r="AZ110" s="63"/>
      <c r="BA110" s="63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  <c r="BL110" s="63"/>
      <c r="BM110" s="63"/>
      <c r="BN110" s="63"/>
      <c r="BO110" s="63"/>
      <c r="BP110" s="63"/>
      <c r="BQ110" s="63"/>
      <c r="BR110" s="63"/>
      <c r="BS110" s="63"/>
      <c r="BT110" s="63"/>
      <c r="BU110" s="63"/>
      <c r="BV110" s="63"/>
      <c r="BW110" s="63"/>
      <c r="BX110" s="63"/>
      <c r="BY110" s="63"/>
      <c r="BZ110" s="63"/>
      <c r="CA110" s="63"/>
      <c r="CB110" s="63"/>
      <c r="CC110" s="63"/>
      <c r="CD110" s="63"/>
      <c r="CE110" s="63"/>
      <c r="CF110" s="63"/>
      <c r="CG110" s="63"/>
      <c r="CH110" s="63"/>
      <c r="CI110" s="63"/>
      <c r="CJ110" s="63"/>
      <c r="CK110" s="63"/>
      <c r="CL110" s="63"/>
      <c r="CM110" s="63"/>
      <c r="CN110" s="63"/>
      <c r="CO110" s="63"/>
      <c r="CP110" s="63"/>
      <c r="CQ110" s="63"/>
      <c r="CR110" s="63"/>
    </row>
    <row r="111" spans="1:96" s="36" customFormat="1" ht="8.25" customHeight="1" x14ac:dyDescent="0.25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63"/>
      <c r="BN111" s="63"/>
      <c r="BO111" s="63"/>
      <c r="BP111" s="63"/>
      <c r="BQ111" s="63"/>
      <c r="BR111" s="63"/>
      <c r="BS111" s="63"/>
      <c r="BT111" s="63"/>
      <c r="BU111" s="63"/>
      <c r="BV111" s="63"/>
      <c r="BW111" s="63"/>
      <c r="BX111" s="63"/>
      <c r="BY111" s="63"/>
      <c r="BZ111" s="63"/>
      <c r="CA111" s="63"/>
      <c r="CB111" s="63"/>
      <c r="CC111" s="63"/>
      <c r="CD111" s="63"/>
      <c r="CE111" s="63"/>
      <c r="CF111" s="63"/>
      <c r="CG111" s="63"/>
      <c r="CH111" s="63"/>
      <c r="CI111" s="63"/>
      <c r="CJ111" s="63"/>
      <c r="CK111" s="63"/>
      <c r="CL111" s="63"/>
      <c r="CM111" s="63"/>
      <c r="CN111" s="63"/>
      <c r="CO111" s="63"/>
      <c r="CP111" s="63"/>
      <c r="CQ111" s="63"/>
      <c r="CR111" s="63"/>
    </row>
    <row r="112" spans="1:96" s="36" customFormat="1" x14ac:dyDescent="0.25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AX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  <c r="BL112" s="63"/>
      <c r="BM112" s="63"/>
      <c r="BN112" s="63"/>
      <c r="BO112" s="63"/>
      <c r="BP112" s="63"/>
      <c r="BQ112" s="63"/>
      <c r="BR112" s="63"/>
      <c r="BS112" s="63"/>
      <c r="BT112" s="63"/>
      <c r="BU112" s="63"/>
      <c r="BV112" s="63"/>
      <c r="BW112" s="63"/>
      <c r="BX112" s="63"/>
      <c r="BY112" s="63"/>
      <c r="BZ112" s="63"/>
      <c r="CA112" s="63"/>
      <c r="CB112" s="63"/>
      <c r="CC112" s="63"/>
      <c r="CD112" s="63"/>
      <c r="CE112" s="63"/>
      <c r="CF112" s="63"/>
      <c r="CG112" s="63"/>
      <c r="CH112" s="63"/>
      <c r="CI112" s="63"/>
      <c r="CJ112" s="63"/>
      <c r="CK112" s="63"/>
      <c r="CL112" s="63"/>
      <c r="CM112" s="63"/>
      <c r="CN112" s="63"/>
      <c r="CO112" s="63"/>
      <c r="CP112" s="63"/>
      <c r="CQ112" s="63"/>
      <c r="CR112" s="63"/>
    </row>
  </sheetData>
  <sortState ref="A13:H30">
    <sortCondition ref="A13:A30"/>
  </sortState>
  <mergeCells count="101">
    <mergeCell ref="Q1:AF1"/>
    <mergeCell ref="AG1:AV1"/>
    <mergeCell ref="AW1:BL1"/>
    <mergeCell ref="BM1:CB1"/>
    <mergeCell ref="CC1:CR1"/>
    <mergeCell ref="A2:P2"/>
    <mergeCell ref="Q2:AF2"/>
    <mergeCell ref="AG2:AV2"/>
    <mergeCell ref="AW2:BL2"/>
    <mergeCell ref="BM2:CB2"/>
    <mergeCell ref="A4:P4"/>
    <mergeCell ref="Q4:AF4"/>
    <mergeCell ref="AG4:AV4"/>
    <mergeCell ref="AW4:BL4"/>
    <mergeCell ref="BM4:CB4"/>
    <mergeCell ref="CC4:CR4"/>
    <mergeCell ref="CC2:CR2"/>
    <mergeCell ref="A3:P3"/>
    <mergeCell ref="Q3:AF3"/>
    <mergeCell ref="AG3:AV3"/>
    <mergeCell ref="AW3:BL3"/>
    <mergeCell ref="BM3:CB3"/>
    <mergeCell ref="CC3:CR3"/>
    <mergeCell ref="A6:P6"/>
    <mergeCell ref="Q6:AF6"/>
    <mergeCell ref="AG6:AV6"/>
    <mergeCell ref="AW6:BL6"/>
    <mergeCell ref="BM6:CB6"/>
    <mergeCell ref="CC6:CR6"/>
    <mergeCell ref="A5:P5"/>
    <mergeCell ref="Q5:AF5"/>
    <mergeCell ref="AG5:AV5"/>
    <mergeCell ref="AW5:BL5"/>
    <mergeCell ref="BM5:CB5"/>
    <mergeCell ref="CC5:CR5"/>
    <mergeCell ref="A8:P8"/>
    <mergeCell ref="Q8:AF8"/>
    <mergeCell ref="AG8:AV8"/>
    <mergeCell ref="AW8:BL8"/>
    <mergeCell ref="BM8:CB8"/>
    <mergeCell ref="CC8:CR8"/>
    <mergeCell ref="A7:P7"/>
    <mergeCell ref="Q7:AF7"/>
    <mergeCell ref="AG7:AV7"/>
    <mergeCell ref="AW7:BL7"/>
    <mergeCell ref="BM7:CB7"/>
    <mergeCell ref="CC7:CR7"/>
    <mergeCell ref="AW10:BL10"/>
    <mergeCell ref="BM10:CB10"/>
    <mergeCell ref="CC10:CR10"/>
    <mergeCell ref="A9:P9"/>
    <mergeCell ref="Q9:AF9"/>
    <mergeCell ref="AG9:AV9"/>
    <mergeCell ref="AW9:BL9"/>
    <mergeCell ref="BM9:CB9"/>
    <mergeCell ref="CC9:CR9"/>
    <mergeCell ref="A11:A12"/>
    <mergeCell ref="B11:B12"/>
    <mergeCell ref="C11:C12"/>
    <mergeCell ref="D11:D12"/>
    <mergeCell ref="F11:H11"/>
    <mergeCell ref="J11:L11"/>
    <mergeCell ref="A10:P10"/>
    <mergeCell ref="Q10:AF10"/>
    <mergeCell ref="AG10:AV10"/>
    <mergeCell ref="Z11:AB11"/>
    <mergeCell ref="AD11:AF11"/>
    <mergeCell ref="AG11:AG12"/>
    <mergeCell ref="AH11:AH12"/>
    <mergeCell ref="AI11:AI12"/>
    <mergeCell ref="AJ11:AJ12"/>
    <mergeCell ref="N11:P11"/>
    <mergeCell ref="Q11:Q12"/>
    <mergeCell ref="R11:R12"/>
    <mergeCell ref="S11:S12"/>
    <mergeCell ref="T11:T12"/>
    <mergeCell ref="V11:X11"/>
    <mergeCell ref="AZ11:AZ12"/>
    <mergeCell ref="BB11:BD11"/>
    <mergeCell ref="BF11:BH11"/>
    <mergeCell ref="BJ11:BL11"/>
    <mergeCell ref="BM11:BM12"/>
    <mergeCell ref="BN11:BN12"/>
    <mergeCell ref="AL11:AN11"/>
    <mergeCell ref="AP11:AR11"/>
    <mergeCell ref="AT11:AV11"/>
    <mergeCell ref="AW11:AW12"/>
    <mergeCell ref="AX11:AX12"/>
    <mergeCell ref="AY11:AY12"/>
    <mergeCell ref="CD11:CD12"/>
    <mergeCell ref="CE11:CE12"/>
    <mergeCell ref="CF11:CF12"/>
    <mergeCell ref="CH11:CJ11"/>
    <mergeCell ref="CL11:CN11"/>
    <mergeCell ref="CP11:CR11"/>
    <mergeCell ref="BO11:BO12"/>
    <mergeCell ref="BP11:BP12"/>
    <mergeCell ref="BR11:BT11"/>
    <mergeCell ref="BV11:BX11"/>
    <mergeCell ref="BZ11:CB11"/>
    <mergeCell ref="CC11:CC12"/>
  </mergeCells>
  <printOptions horizontalCentered="1"/>
  <pageMargins left="0.31496062992125984" right="0.31496062992125984" top="0.74803149606299213" bottom="0.35433070866141736" header="0.31496062992125984" footer="0.31496062992125984"/>
  <pageSetup paperSize="9" scale="79" fitToWidth="3" fitToHeight="2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"/>
  <sheetViews>
    <sheetView topLeftCell="A37" zoomScaleNormal="100" workbookViewId="0">
      <selection activeCell="H32" sqref="A1:H32"/>
    </sheetView>
  </sheetViews>
  <sheetFormatPr defaultRowHeight="15" x14ac:dyDescent="0.25"/>
  <cols>
    <col min="1" max="1" width="4.5703125" style="63" customWidth="1"/>
    <col min="2" max="2" width="5.85546875" style="63" customWidth="1"/>
    <col min="3" max="3" width="23.28515625" style="63" bestFit="1" customWidth="1"/>
    <col min="4" max="4" width="19.7109375" style="63" bestFit="1" customWidth="1"/>
    <col min="5" max="5" width="12.28515625" style="63" bestFit="1" customWidth="1"/>
    <col min="6" max="6" width="10" style="63" bestFit="1" customWidth="1"/>
    <col min="7" max="7" width="7.5703125" style="63" customWidth="1"/>
    <col min="8" max="8" width="8.7109375" style="63" customWidth="1"/>
    <col min="9" max="16384" width="9.140625" style="63"/>
  </cols>
  <sheetData>
    <row r="1" spans="1:8" x14ac:dyDescent="0.25">
      <c r="A1" s="79" t="str">
        <f>Данные!B66</f>
        <v>Российская автомобильная федерация</v>
      </c>
      <c r="B1" s="79"/>
      <c r="C1" s="79"/>
      <c r="D1" s="79"/>
      <c r="E1" s="79"/>
      <c r="F1" s="79"/>
      <c r="G1" s="79"/>
      <c r="H1" s="79"/>
    </row>
    <row r="2" spans="1:8" x14ac:dyDescent="0.25">
      <c r="A2" s="79" t="str">
        <f>Данные!B67</f>
        <v>ФАС Челябинской области</v>
      </c>
      <c r="B2" s="79"/>
      <c r="C2" s="79"/>
      <c r="D2" s="79"/>
      <c r="E2" s="79"/>
      <c r="F2" s="79"/>
      <c r="G2" s="79"/>
      <c r="H2" s="79"/>
    </row>
    <row r="3" spans="1:8" x14ac:dyDescent="0.25">
      <c r="A3" s="79" t="str">
        <f>Данные!B68</f>
        <v xml:space="preserve">Команда  Red Off-road Expedition </v>
      </c>
      <c r="B3" s="79"/>
      <c r="C3" s="79"/>
      <c r="D3" s="79"/>
      <c r="E3" s="79"/>
      <c r="F3" s="79"/>
      <c r="G3" s="79"/>
      <c r="H3" s="79"/>
    </row>
    <row r="4" spans="1:8" x14ac:dyDescent="0.25">
      <c r="A4" s="79" t="str">
        <f>Данные!B69</f>
        <v>ООО «Внедорожный центр 4х4»</v>
      </c>
      <c r="B4" s="79"/>
      <c r="C4" s="79"/>
      <c r="D4" s="79"/>
      <c r="E4" s="79"/>
      <c r="F4" s="79"/>
      <c r="G4" s="79"/>
      <c r="H4" s="79"/>
    </row>
    <row r="5" spans="1:8" x14ac:dyDescent="0.25">
      <c r="A5" s="79" t="str">
        <f>Данные!B70</f>
        <v>Команда Pro-X</v>
      </c>
      <c r="B5" s="79"/>
      <c r="C5" s="79"/>
      <c r="D5" s="79"/>
      <c r="E5" s="79"/>
      <c r="F5" s="79"/>
      <c r="G5" s="79"/>
      <c r="H5" s="79"/>
    </row>
    <row r="6" spans="1:8" x14ac:dyDescent="0.25">
      <c r="A6" s="79" t="str">
        <f>Данные!B71</f>
        <v>Этап кубка Урало-Сибирской зоны по трофи-рейдам</v>
      </c>
      <c r="B6" s="79"/>
      <c r="C6" s="79"/>
      <c r="D6" s="79"/>
      <c r="E6" s="79"/>
      <c r="F6" s="79"/>
      <c r="G6" s="79"/>
      <c r="H6" s="79"/>
    </row>
    <row r="7" spans="1:8" x14ac:dyDescent="0.25">
      <c r="A7" s="99"/>
      <c r="B7" s="99"/>
      <c r="C7" s="99"/>
      <c r="D7" s="99"/>
      <c r="E7" s="99"/>
      <c r="F7" s="99"/>
      <c r="G7" s="99"/>
      <c r="H7" s="99"/>
    </row>
    <row r="8" spans="1:8" x14ac:dyDescent="0.25">
      <c r="A8" s="100">
        <v>43358</v>
      </c>
      <c r="B8" s="100"/>
      <c r="C8" s="100"/>
      <c r="H8" s="60" t="s">
        <v>159</v>
      </c>
    </row>
    <row r="9" spans="1:8" s="19" customFormat="1" x14ac:dyDescent="0.25">
      <c r="A9" s="81" t="s">
        <v>201</v>
      </c>
      <c r="B9" s="81"/>
      <c r="C9" s="81"/>
      <c r="D9" s="81"/>
      <c r="E9" s="81"/>
      <c r="F9" s="81"/>
      <c r="G9" s="81"/>
      <c r="H9" s="81"/>
    </row>
    <row r="10" spans="1:8" x14ac:dyDescent="0.25">
      <c r="A10" s="63" t="str">
        <f>Данные!B61</f>
        <v>ОФИЦИАЛЬНО</v>
      </c>
      <c r="H10" s="53">
        <f>Данные!C61</f>
        <v>0.91666666666666663</v>
      </c>
    </row>
    <row r="11" spans="1:8" s="3" customFormat="1" ht="12.75" x14ac:dyDescent="0.25">
      <c r="A11" s="82" t="s">
        <v>154</v>
      </c>
      <c r="B11" s="82" t="s">
        <v>111</v>
      </c>
      <c r="C11" s="82" t="s">
        <v>1</v>
      </c>
      <c r="D11" s="82" t="s">
        <v>3</v>
      </c>
      <c r="E11" s="83" t="s">
        <v>4</v>
      </c>
      <c r="F11" s="92" t="s">
        <v>155</v>
      </c>
      <c r="G11" s="94" t="s">
        <v>156</v>
      </c>
      <c r="H11" s="82"/>
    </row>
    <row r="12" spans="1:8" s="3" customFormat="1" ht="33.75" x14ac:dyDescent="0.25">
      <c r="A12" s="82"/>
      <c r="B12" s="82"/>
      <c r="C12" s="82"/>
      <c r="D12" s="82"/>
      <c r="E12" s="83"/>
      <c r="F12" s="93"/>
      <c r="G12" s="28" t="s">
        <v>161</v>
      </c>
      <c r="H12" s="28" t="s">
        <v>160</v>
      </c>
    </row>
    <row r="13" spans="1:8" s="6" customFormat="1" ht="60" x14ac:dyDescent="0.25">
      <c r="A13" s="26">
        <f>VLOOKUP($B13,TAB,133,FALSE)</f>
        <v>1</v>
      </c>
      <c r="B13" s="25">
        <v>402</v>
      </c>
      <c r="C13" s="11" t="str">
        <f>VLOOKUP($B13,TAB,2,FALSE)</f>
        <v>Бекметов Рустам Олегович
Песняев Евгений Анатольевич</v>
      </c>
      <c r="D13" s="11" t="str">
        <f>VLOOKUP($B13,TAB,4,FALSE)</f>
        <v>Магнитогорск
Магнитогорск</v>
      </c>
      <c r="E13" s="11" t="str">
        <f>VLOOKUP($B13,TAB,5,FALSE)</f>
        <v>Suzuki Samurai</v>
      </c>
      <c r="F13" s="26">
        <f>VLOOKUP($B13,TAB,132,FALSE)</f>
        <v>1171</v>
      </c>
      <c r="G13" s="27" t="str">
        <f>IF(F13="СХОД","СХОД",IF(A13=1,"**",F$13-F13))</f>
        <v>**</v>
      </c>
      <c r="H13" s="27" t="str">
        <f>IF(F13="СХОД","СХОД",IF(A13=1,"**",F12-F13))</f>
        <v>**</v>
      </c>
    </row>
    <row r="14" spans="1:8" s="6" customFormat="1" ht="60" x14ac:dyDescent="0.25">
      <c r="A14" s="26">
        <f>VLOOKUP($B14,TAB,133,FALSE)</f>
        <v>2</v>
      </c>
      <c r="B14" s="25">
        <v>408</v>
      </c>
      <c r="C14" s="11" t="str">
        <f>VLOOKUP($B14,TAB,2,FALSE)</f>
        <v>Павлов Евгений Валерьевич
Шабашов Константин Владимирович</v>
      </c>
      <c r="D14" s="11" t="str">
        <f>VLOOKUP($B14,TAB,4,FALSE)</f>
        <v>Тверь
Челябинск</v>
      </c>
      <c r="E14" s="11" t="str">
        <f>VLOOKUP($B14,TAB,5,FALSE)</f>
        <v>УАЗ Патриот</v>
      </c>
      <c r="F14" s="26">
        <f>VLOOKUP($B14,TAB,132,FALSE)</f>
        <v>1170</v>
      </c>
      <c r="G14" s="27">
        <f>IF(F14="СХОД","СХОД",IF(A14=1,"**",F$13-F14))</f>
        <v>1</v>
      </c>
      <c r="H14" s="27">
        <f>IF(F14="СХОД","СХОД",IF(A14=1,"**",F13-F14))</f>
        <v>1</v>
      </c>
    </row>
    <row r="15" spans="1:8" s="6" customFormat="1" ht="60" x14ac:dyDescent="0.25">
      <c r="A15" s="26">
        <f>VLOOKUP($B15,TAB,133,FALSE)</f>
        <v>3</v>
      </c>
      <c r="B15" s="25">
        <v>412</v>
      </c>
      <c r="C15" s="11" t="str">
        <f>VLOOKUP($B15,TAB,2,FALSE)</f>
        <v>Фаттахов Владик Мансурович
Абдулин Сергей Аликович</v>
      </c>
      <c r="D15" s="11" t="str">
        <f>VLOOKUP($B15,TAB,4,FALSE)</f>
        <v>Челябинск
Челябинск</v>
      </c>
      <c r="E15" s="11" t="str">
        <f>VLOOKUP($B15,TAB,5,FALSE)</f>
        <v>ВАЗ 21214</v>
      </c>
      <c r="F15" s="26">
        <f>VLOOKUP($B15,TAB,132,FALSE)</f>
        <v>1102</v>
      </c>
      <c r="G15" s="27">
        <f>IF(F15="СХОД","СХОД",IF(A15=1,"**",F$13-F15))</f>
        <v>69</v>
      </c>
      <c r="H15" s="27">
        <f>IF(F15="СХОД","СХОД",IF(A15=1,"**",F14-F15))</f>
        <v>68</v>
      </c>
    </row>
    <row r="16" spans="1:8" s="6" customFormat="1" ht="60" x14ac:dyDescent="0.25">
      <c r="A16" s="26">
        <f>VLOOKUP($B16,TAB,133,FALSE)</f>
        <v>4</v>
      </c>
      <c r="B16" s="25">
        <v>413</v>
      </c>
      <c r="C16" s="11" t="str">
        <f>VLOOKUP($B16,TAB,2,FALSE)</f>
        <v>Таверов Федор Петрович
Сагдеев Андрей Рамильевич</v>
      </c>
      <c r="D16" s="11" t="str">
        <f>VLOOKUP($B16,TAB,4,FALSE)</f>
        <v>Челябинск
Челябинск</v>
      </c>
      <c r="E16" s="11" t="str">
        <f>VLOOKUP($B16,TAB,5,FALSE)</f>
        <v>ВАЗ 21214</v>
      </c>
      <c r="F16" s="26">
        <f>VLOOKUP($B16,TAB,132,FALSE)</f>
        <v>1074</v>
      </c>
      <c r="G16" s="27">
        <f>IF(F16="СХОД","СХОД",IF(A16=1,"**",F$13-F16))</f>
        <v>97</v>
      </c>
      <c r="H16" s="27">
        <f>IF(F16="СХОД","СХОД",IF(A16=1,"**",F15-F16))</f>
        <v>28</v>
      </c>
    </row>
    <row r="17" spans="1:16" s="6" customFormat="1" ht="60" x14ac:dyDescent="0.25">
      <c r="A17" s="26">
        <f>VLOOKUP($B17,TAB,133,FALSE)</f>
        <v>5</v>
      </c>
      <c r="B17" s="25">
        <v>416</v>
      </c>
      <c r="C17" s="11" t="str">
        <f>VLOOKUP($B17,TAB,2,FALSE)</f>
        <v>Бикмухаметов Альберт Гадульфатович
Кожевников Петр Владимирович</v>
      </c>
      <c r="D17" s="11" t="str">
        <f>VLOOKUP($B17,TAB,4,FALSE)</f>
        <v>Магнитогорск
Магнитогорск</v>
      </c>
      <c r="E17" s="11" t="str">
        <f>VLOOKUP($B17,TAB,5,FALSE)</f>
        <v>Нива Шевроле</v>
      </c>
      <c r="F17" s="26">
        <f>VLOOKUP($B17,TAB,132,FALSE)</f>
        <v>1065</v>
      </c>
      <c r="G17" s="27">
        <f>IF(F17="СХОД","СХОД",IF(A17=1,"**",F$13-F17))</f>
        <v>106</v>
      </c>
      <c r="H17" s="27">
        <f>IF(F17="СХОД","СХОД",IF(A17=1,"**",F16-F17))</f>
        <v>9</v>
      </c>
    </row>
    <row r="18" spans="1:16" s="6" customFormat="1" ht="60" x14ac:dyDescent="0.25">
      <c r="A18" s="26">
        <f>VLOOKUP($B18,TAB,133,FALSE)</f>
        <v>6</v>
      </c>
      <c r="B18" s="25">
        <v>411</v>
      </c>
      <c r="C18" s="11" t="str">
        <f>VLOOKUP($B18,TAB,2,FALSE)</f>
        <v>Юков Роман Александрович
Шнейдер Артем Александрович</v>
      </c>
      <c r="D18" s="11" t="str">
        <f>VLOOKUP($B18,TAB,4,FALSE)</f>
        <v>Куртамыш
Куртамыш</v>
      </c>
      <c r="E18" s="11" t="str">
        <f>VLOOKUP($B18,TAB,5,FALSE)</f>
        <v>Нива 21213</v>
      </c>
      <c r="F18" s="26">
        <f>VLOOKUP($B18,TAB,132,FALSE)</f>
        <v>998</v>
      </c>
      <c r="G18" s="27">
        <f>IF(F18="СХОД","СХОД",IF(A18=1,"**",F$13-F18))</f>
        <v>173</v>
      </c>
      <c r="H18" s="27">
        <f>IF(F18="СХОД","СХОД",IF(A18=1,"**",F17-F18))</f>
        <v>67</v>
      </c>
    </row>
    <row r="19" spans="1:16" s="6" customFormat="1" ht="60" x14ac:dyDescent="0.25">
      <c r="A19" s="26">
        <f>VLOOKUP($B19,TAB,133,FALSE)</f>
        <v>7</v>
      </c>
      <c r="B19" s="25">
        <v>418</v>
      </c>
      <c r="C19" s="11" t="str">
        <f>VLOOKUP($B19,TAB,2,FALSE)</f>
        <v>Слободин Анатолий Олегович
Коровяковский Андрей Алексеевич</v>
      </c>
      <c r="D19" s="11" t="str">
        <f>VLOOKUP($B19,TAB,4,FALSE)</f>
        <v>Сатка
Сатка</v>
      </c>
      <c r="E19" s="11">
        <f>VLOOKUP($B19,TAB,5,FALSE)</f>
        <v>0</v>
      </c>
      <c r="F19" s="26">
        <f>VLOOKUP($B19,TAB,132,FALSE)</f>
        <v>931</v>
      </c>
      <c r="G19" s="27">
        <f>IF(F19="СХОД","СХОД",IF(A19=1,"**",F$13-F19))</f>
        <v>240</v>
      </c>
      <c r="H19" s="27">
        <f>IF(F19="СХОД","СХОД",IF(A19=1,"**",F18-F19))</f>
        <v>67</v>
      </c>
    </row>
    <row r="20" spans="1:16" s="6" customFormat="1" ht="60" x14ac:dyDescent="0.25">
      <c r="A20" s="26">
        <f>VLOOKUP($B20,TAB,133,FALSE)</f>
        <v>8</v>
      </c>
      <c r="B20" s="25">
        <v>403</v>
      </c>
      <c r="C20" s="11" t="str">
        <f>VLOOKUP($B20,TAB,2,FALSE)</f>
        <v>Бураков Евгений Станиславович
Бураков Павел Евгеньевич</v>
      </c>
      <c r="D20" s="11" t="str">
        <f>VLOOKUP($B20,TAB,4,FALSE)</f>
        <v>Челябинск
Челябинск</v>
      </c>
      <c r="E20" s="11" t="str">
        <f>VLOOKUP($B20,TAB,5,FALSE)</f>
        <v>УАЗ Патриот</v>
      </c>
      <c r="F20" s="26">
        <f>VLOOKUP($B20,TAB,132,FALSE)</f>
        <v>879</v>
      </c>
      <c r="G20" s="27">
        <f>IF(F20="СХОД","СХОД",IF(A20=1,"**",F$13-F20))</f>
        <v>292</v>
      </c>
      <c r="H20" s="27">
        <f>IF(F20="СХОД","СХОД",IF(A20=1,"**",F19-F20))</f>
        <v>52</v>
      </c>
    </row>
    <row r="21" spans="1:16" s="6" customFormat="1" ht="60" x14ac:dyDescent="0.25">
      <c r="A21" s="26">
        <f>VLOOKUP($B21,TAB,133,FALSE)</f>
        <v>9</v>
      </c>
      <c r="B21" s="25">
        <v>414</v>
      </c>
      <c r="C21" s="11" t="str">
        <f>VLOOKUP($B21,TAB,2,FALSE)</f>
        <v>Ефимов Юрий Владимирович
Мокринский Олег Владиславович</v>
      </c>
      <c r="D21" s="11" t="str">
        <f>VLOOKUP($B21,TAB,4,FALSE)</f>
        <v>Камышлов
Камышлов</v>
      </c>
      <c r="E21" s="11" t="str">
        <f>VLOOKUP($B21,TAB,5,FALSE)</f>
        <v>ВАЗ 2123</v>
      </c>
      <c r="F21" s="26">
        <f>VLOOKUP($B21,TAB,132,FALSE)</f>
        <v>866</v>
      </c>
      <c r="G21" s="27">
        <f>IF(F21="СХОД","СХОД",IF(A21=1,"**",F$13-F21))</f>
        <v>305</v>
      </c>
      <c r="H21" s="27">
        <f>IF(F21="СХОД","СХОД",IF(A21=1,"**",F20-F21))</f>
        <v>13</v>
      </c>
    </row>
    <row r="22" spans="1:16" s="6" customFormat="1" ht="60" x14ac:dyDescent="0.25">
      <c r="A22" s="26">
        <f>VLOOKUP($B22,TAB,133,FALSE)</f>
        <v>10</v>
      </c>
      <c r="B22" s="25">
        <v>410</v>
      </c>
      <c r="C22" s="11" t="str">
        <f>VLOOKUP($B22,TAB,2,FALSE)</f>
        <v>Горобец Владимир Валерьевич
Горобец Жанна Валентиновна</v>
      </c>
      <c r="D22" s="11" t="str">
        <f>VLOOKUP($B22,TAB,4,FALSE)</f>
        <v>Челябинск
Челябинск</v>
      </c>
      <c r="E22" s="11" t="str">
        <f>VLOOKUP($B22,TAB,5,FALSE)</f>
        <v>ГрейтВолл Ховер3</v>
      </c>
      <c r="F22" s="26">
        <f>VLOOKUP($B22,TAB,132,FALSE)</f>
        <v>861</v>
      </c>
      <c r="G22" s="27">
        <f>IF(F22="СХОД","СХОД",IF(A22=1,"**",F$13-F22))</f>
        <v>310</v>
      </c>
      <c r="H22" s="27">
        <f>IF(F22="СХОД","СХОД",IF(A22=1,"**",F21-F22))</f>
        <v>5</v>
      </c>
    </row>
    <row r="23" spans="1:16" s="6" customFormat="1" ht="60" x14ac:dyDescent="0.25">
      <c r="A23" s="26">
        <f>VLOOKUP($B23,TAB,133,FALSE)</f>
        <v>11</v>
      </c>
      <c r="B23" s="25">
        <v>400</v>
      </c>
      <c r="C23" s="11" t="str">
        <f>VLOOKUP($B23,TAB,2,FALSE)</f>
        <v>Арсентьев Вадим Петрович
Гурьянов Виктор Григорьевич</v>
      </c>
      <c r="D23" s="11" t="str">
        <f>VLOOKUP($B23,TAB,4,FALSE)</f>
        <v>Златоуст
Златоуст</v>
      </c>
      <c r="E23" s="11" t="str">
        <f>VLOOKUP($B23,TAB,5,FALSE)</f>
        <v>TLC 79</v>
      </c>
      <c r="F23" s="26">
        <f>VLOOKUP($B23,TAB,132,FALSE)</f>
        <v>852</v>
      </c>
      <c r="G23" s="27">
        <f>IF(F23="СХОД","СХОД",IF(A23=1,"**",F$13-F23))</f>
        <v>319</v>
      </c>
      <c r="H23" s="27">
        <f>IF(F23="СХОД","СХОД",IF(A23=1,"**",F22-F23))</f>
        <v>9</v>
      </c>
    </row>
    <row r="24" spans="1:16" s="6" customFormat="1" ht="45" x14ac:dyDescent="0.25">
      <c r="A24" s="26">
        <f>VLOOKUP($B24,TAB,133,FALSE)</f>
        <v>12</v>
      </c>
      <c r="B24" s="25">
        <v>417</v>
      </c>
      <c r="C24" s="11" t="str">
        <f>VLOOKUP($B24,TAB,2,FALSE)</f>
        <v>Голубев Валерий Викторович
Зее Ян Игоревич</v>
      </c>
      <c r="D24" s="11" t="str">
        <f>VLOOKUP($B24,TAB,4,FALSE)</f>
        <v>Челябинск
Челябинск</v>
      </c>
      <c r="E24" s="11">
        <f>VLOOKUP($B24,TAB,5,FALSE)</f>
        <v>0</v>
      </c>
      <c r="F24" s="26">
        <f>VLOOKUP($B24,TAB,132,FALSE)</f>
        <v>769</v>
      </c>
      <c r="G24" s="27">
        <f>IF(F24="СХОД","СХОД",IF(A24=1,"**",F$13-F24))</f>
        <v>402</v>
      </c>
      <c r="H24" s="27">
        <f>IF(F24="СХОД","СХОД",IF(A24=1,"**",F23-F24))</f>
        <v>83</v>
      </c>
    </row>
    <row r="25" spans="1:16" s="6" customFormat="1" ht="60" x14ac:dyDescent="0.25">
      <c r="A25" s="26">
        <f>VLOOKUP($B25,TAB,133,FALSE)</f>
        <v>13</v>
      </c>
      <c r="B25" s="25">
        <v>415</v>
      </c>
      <c r="C25" s="11" t="str">
        <f>VLOOKUP($B25,TAB,2,FALSE)</f>
        <v>Пуртов Александр Сергеевич
Соловьев Александр Вячеславович</v>
      </c>
      <c r="D25" s="11" t="str">
        <f>VLOOKUP($B25,TAB,4,FALSE)</f>
        <v>Екатеринбург
Екатеринбург</v>
      </c>
      <c r="E25" s="11">
        <f>VLOOKUP($B25,TAB,5,FALSE)</f>
        <v>0</v>
      </c>
      <c r="F25" s="26">
        <f>VLOOKUP($B25,TAB,132,FALSE)</f>
        <v>729</v>
      </c>
      <c r="G25" s="27">
        <f>IF(F25="СХОД","СХОД",IF(A25=1,"**",F$13-F25))</f>
        <v>442</v>
      </c>
      <c r="H25" s="27">
        <f>IF(F25="СХОД","СХОД",IF(A25=1,"**",F24-F25))</f>
        <v>40</v>
      </c>
    </row>
    <row r="26" spans="1:16" s="6" customFormat="1" ht="60" x14ac:dyDescent="0.25">
      <c r="A26" s="26">
        <f>VLOOKUP($B26,TAB,133,FALSE)</f>
        <v>14</v>
      </c>
      <c r="B26" s="25">
        <v>405</v>
      </c>
      <c r="C26" s="11" t="str">
        <f>VLOOKUP($B26,TAB,2,FALSE)</f>
        <v>Добрыдин Андрей Николаевич
Голубенкова Анна Сергеевна</v>
      </c>
      <c r="D26" s="11" t="str">
        <f>VLOOKUP($B26,TAB,4,FALSE)</f>
        <v>Челябинск
Челябинск</v>
      </c>
      <c r="E26" s="11" t="str">
        <f>VLOOKUP($B26,TAB,5,FALSE)</f>
        <v>Mitsubishi Pajero Mini</v>
      </c>
      <c r="F26" s="26">
        <f>VLOOKUP($B26,TAB,132,FALSE)</f>
        <v>683</v>
      </c>
      <c r="G26" s="27">
        <f>IF(F26="СХОД","СХОД",IF(A26=1,"**",F$13-F26))</f>
        <v>488</v>
      </c>
      <c r="H26" s="27">
        <f>IF(F26="СХОД","СХОД",IF(A26=1,"**",F25-F26))</f>
        <v>46</v>
      </c>
    </row>
    <row r="27" spans="1:16" s="6" customFormat="1" ht="60" x14ac:dyDescent="0.25">
      <c r="A27" s="26">
        <f>VLOOKUP($B27,TAB,133,FALSE)</f>
        <v>15</v>
      </c>
      <c r="B27" s="25">
        <v>407</v>
      </c>
      <c r="C27" s="11" t="str">
        <f>VLOOKUP($B27,TAB,2,FALSE)</f>
        <v>Шаталов Сергей Евгеньевич
Утев Денис Михайлович</v>
      </c>
      <c r="D27" s="11" t="str">
        <f>VLOOKUP($B27,TAB,4,FALSE)</f>
        <v>Челябинск
Челябинск</v>
      </c>
      <c r="E27" s="11" t="str">
        <f>VLOOKUP($B27,TAB,5,FALSE)</f>
        <v>Renault Kaleos</v>
      </c>
      <c r="F27" s="26">
        <f>VLOOKUP($B27,TAB,132,FALSE)</f>
        <v>615</v>
      </c>
      <c r="G27" s="27">
        <f>IF(F27="СХОД","СХОД",IF(A27=1,"**",F$13-F27))</f>
        <v>556</v>
      </c>
      <c r="H27" s="27">
        <f>IF(F27="СХОД","СХОД",IF(A27=1,"**",F26-F27))</f>
        <v>68</v>
      </c>
    </row>
    <row r="28" spans="1:16" s="6" customFormat="1" ht="60" x14ac:dyDescent="0.25">
      <c r="A28" s="26">
        <f>VLOOKUP($B28,TAB,133,FALSE)</f>
        <v>16</v>
      </c>
      <c r="B28" s="25">
        <v>409</v>
      </c>
      <c r="C28" s="11" t="str">
        <f>VLOOKUP($B28,TAB,2,FALSE)</f>
        <v>Курманов Сергей Валерьевич
Жуламанов Вадим Валеевич</v>
      </c>
      <c r="D28" s="11" t="str">
        <f>VLOOKUP($B28,TAB,4,FALSE)</f>
        <v>Троицк
Троицк</v>
      </c>
      <c r="E28" s="11" t="str">
        <f>VLOOKUP($B28,TAB,5,FALSE)</f>
        <v>ВАЗ 21214М</v>
      </c>
      <c r="F28" s="26">
        <f>VLOOKUP($B28,TAB,132,FALSE)</f>
        <v>504</v>
      </c>
      <c r="G28" s="27">
        <f>IF(F28="СХОД","СХОД",IF(A28=1,"**",F$13-F28))</f>
        <v>667</v>
      </c>
      <c r="H28" s="27">
        <f>IF(F28="СХОД","СХОД",IF(A28=1,"**",F27-F28))</f>
        <v>111</v>
      </c>
    </row>
    <row r="29" spans="1:16" s="6" customFormat="1" ht="60" x14ac:dyDescent="0.25">
      <c r="A29" s="26" t="str">
        <f>VLOOKUP($B29,TAB,133,FALSE)</f>
        <v>-</v>
      </c>
      <c r="B29" s="25">
        <v>401</v>
      </c>
      <c r="C29" s="11" t="str">
        <f>VLOOKUP($B29,TAB,2,FALSE)</f>
        <v>Базылев Максим Сергеевич
Эйкевич Владимир Олегович</v>
      </c>
      <c r="D29" s="11" t="str">
        <f>VLOOKUP($B29,TAB,4,FALSE)</f>
        <v>Челябинск
Челябинск</v>
      </c>
      <c r="E29" s="11" t="str">
        <f>VLOOKUP($B29,TAB,5,FALSE)</f>
        <v>УАЗ Патриот</v>
      </c>
      <c r="F29" s="26" t="str">
        <f>VLOOKUP($B29,TAB,132,FALSE)</f>
        <v>СХОД</v>
      </c>
      <c r="G29" s="27" t="str">
        <f>IF(F29="СХОД","СХОД",IF(A29=1,"**",F$13-F29))</f>
        <v>СХОД</v>
      </c>
      <c r="H29" s="27" t="str">
        <f>IF(F29="СХОД","СХОД",IF(A29=1,"**",F28-F29))</f>
        <v>СХОД</v>
      </c>
    </row>
    <row r="30" spans="1:16" s="6" customFormat="1" ht="60" x14ac:dyDescent="0.25">
      <c r="A30" s="26" t="str">
        <f>VLOOKUP($B30,TAB,133,FALSE)</f>
        <v>-</v>
      </c>
      <c r="B30" s="25">
        <v>406</v>
      </c>
      <c r="C30" s="11" t="str">
        <f>VLOOKUP($B30,TAB,2,FALSE)</f>
        <v>Унжакова Юлия Александровна
Перьев Максим Вячеславович</v>
      </c>
      <c r="D30" s="11" t="str">
        <f>VLOOKUP($B30,TAB,4,FALSE)</f>
        <v>Снежинск
Снежинск</v>
      </c>
      <c r="E30" s="11" t="str">
        <f>VLOOKUP($B30,TAB,5,FALSE)</f>
        <v>Нива 21213</v>
      </c>
      <c r="F30" s="26" t="str">
        <f>VLOOKUP($B30,TAB,132,FALSE)</f>
        <v>СХОД</v>
      </c>
      <c r="G30" s="27" t="str">
        <f>IF(F30="СХОД","СХОД",IF(A30=1,"**",F$13-F30))</f>
        <v>СХОД</v>
      </c>
      <c r="H30" s="27" t="str">
        <f>IF(F30="СХОД","СХОД",IF(A30=1,"**",F29-F30))</f>
        <v>СХОД</v>
      </c>
    </row>
    <row r="31" spans="1:16" s="36" customFormat="1" x14ac:dyDescent="0.25">
      <c r="A31" s="32"/>
      <c r="B31" s="33"/>
      <c r="C31" s="33"/>
      <c r="D31" s="33"/>
      <c r="E31" s="34"/>
      <c r="F31" s="35"/>
      <c r="G31" s="35"/>
      <c r="H31" s="35"/>
      <c r="I31" s="34"/>
      <c r="J31" s="35"/>
      <c r="K31" s="35"/>
      <c r="L31" s="35"/>
      <c r="M31" s="34"/>
      <c r="N31" s="35"/>
      <c r="O31" s="35"/>
      <c r="P31" s="35"/>
    </row>
    <row r="32" spans="1:16" s="41" customFormat="1" x14ac:dyDescent="0.25">
      <c r="A32" s="38"/>
      <c r="B32" s="37" t="s">
        <v>157</v>
      </c>
      <c r="C32" s="37"/>
      <c r="D32" s="37"/>
      <c r="E32" s="37" t="s">
        <v>158</v>
      </c>
      <c r="F32" s="40"/>
      <c r="G32" s="40"/>
      <c r="H32" s="40"/>
      <c r="I32" s="39"/>
      <c r="J32" s="40"/>
      <c r="L32" s="40"/>
      <c r="M32" s="39"/>
      <c r="N32" s="40"/>
      <c r="O32" s="40"/>
      <c r="P32" s="40"/>
    </row>
  </sheetData>
  <sortState ref="A13:H30">
    <sortCondition ref="A13:A30"/>
  </sortState>
  <mergeCells count="16">
    <mergeCell ref="A6:H6"/>
    <mergeCell ref="A1:H1"/>
    <mergeCell ref="A2:H2"/>
    <mergeCell ref="A3:H3"/>
    <mergeCell ref="A4:H4"/>
    <mergeCell ref="A5:H5"/>
    <mergeCell ref="A7:H7"/>
    <mergeCell ref="A8:C8"/>
    <mergeCell ref="A9:H9"/>
    <mergeCell ref="A11:A12"/>
    <mergeCell ref="B11:B12"/>
    <mergeCell ref="C11:C12"/>
    <mergeCell ref="D11:D12"/>
    <mergeCell ref="E11:E12"/>
    <mergeCell ref="F11:F12"/>
    <mergeCell ref="G11:H11"/>
  </mergeCells>
  <printOptions horizontalCentered="1"/>
  <pageMargins left="0.31496062992125984" right="0.31496062992125984" top="0.74803149606299213" bottom="0.35433070866141736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"/>
  <sheetViews>
    <sheetView topLeftCell="A58" zoomScaleNormal="100" workbookViewId="0">
      <selection sqref="A1:F77"/>
    </sheetView>
  </sheetViews>
  <sheetFormatPr defaultRowHeight="15" x14ac:dyDescent="0.25"/>
  <cols>
    <col min="1" max="1" width="9.42578125" style="22" customWidth="1"/>
    <col min="2" max="2" width="35.7109375" style="22" customWidth="1"/>
    <col min="3" max="3" width="12.140625" style="22" customWidth="1"/>
    <col min="4" max="4" width="21.85546875" style="22" customWidth="1"/>
    <col min="5" max="5" width="13.5703125" style="22" customWidth="1"/>
    <col min="6" max="6" width="14.28515625" style="22" customWidth="1"/>
    <col min="7" max="16384" width="9.140625" style="22"/>
  </cols>
  <sheetData>
    <row r="1" spans="1:6" x14ac:dyDescent="0.25">
      <c r="A1" s="79" t="str">
        <f>Данные!B66</f>
        <v>Российская автомобильная федерация</v>
      </c>
      <c r="B1" s="79"/>
      <c r="C1" s="79"/>
      <c r="D1" s="79"/>
      <c r="E1" s="79"/>
      <c r="F1" s="79"/>
    </row>
    <row r="2" spans="1:6" x14ac:dyDescent="0.25">
      <c r="A2" s="79" t="str">
        <f>Данные!B67</f>
        <v>ФАС Челябинской области</v>
      </c>
      <c r="B2" s="79"/>
      <c r="C2" s="79"/>
      <c r="D2" s="79"/>
      <c r="E2" s="79"/>
      <c r="F2" s="79"/>
    </row>
    <row r="3" spans="1:6" x14ac:dyDescent="0.25">
      <c r="A3" s="79" t="str">
        <f>Данные!B68</f>
        <v xml:space="preserve">Команда  Red Off-road Expedition </v>
      </c>
      <c r="B3" s="79"/>
      <c r="C3" s="79"/>
      <c r="D3" s="79"/>
      <c r="E3" s="79"/>
      <c r="F3" s="79"/>
    </row>
    <row r="4" spans="1:6" x14ac:dyDescent="0.25">
      <c r="A4" s="79" t="str">
        <f>Данные!B69</f>
        <v>ООО «Внедорожный центр 4х4»</v>
      </c>
      <c r="B4" s="79"/>
      <c r="C4" s="79"/>
      <c r="D4" s="79"/>
      <c r="E4" s="79"/>
      <c r="F4" s="79"/>
    </row>
    <row r="5" spans="1:6" x14ac:dyDescent="0.25">
      <c r="A5" s="79" t="str">
        <f>Данные!B70</f>
        <v>Команда Pro-X</v>
      </c>
      <c r="B5" s="79"/>
      <c r="C5" s="79"/>
      <c r="D5" s="79"/>
      <c r="E5" s="79"/>
      <c r="F5" s="79"/>
    </row>
    <row r="6" spans="1:6" x14ac:dyDescent="0.25">
      <c r="A6" s="79" t="str">
        <f>Данные!B71</f>
        <v>Этап кубка Урало-Сибирской зоны по трофи-рейдам</v>
      </c>
      <c r="B6" s="79"/>
      <c r="C6" s="79"/>
      <c r="D6" s="79"/>
      <c r="E6" s="79"/>
      <c r="F6" s="79"/>
    </row>
    <row r="7" spans="1:6" x14ac:dyDescent="0.25">
      <c r="A7" s="80" t="str">
        <f>Данные!B72</f>
        <v>г.Челябинск</v>
      </c>
      <c r="B7" s="80"/>
      <c r="C7" s="80"/>
      <c r="D7" s="80"/>
      <c r="E7" s="80"/>
      <c r="F7" s="80"/>
    </row>
    <row r="8" spans="1:6" x14ac:dyDescent="0.25">
      <c r="A8" s="80">
        <f>Данные!B73</f>
        <v>43358</v>
      </c>
      <c r="B8" s="80"/>
      <c r="C8" s="80"/>
      <c r="D8" s="80"/>
      <c r="E8" s="80"/>
      <c r="F8" s="80"/>
    </row>
    <row r="9" spans="1:6" s="19" customFormat="1" x14ac:dyDescent="0.25">
      <c r="A9" s="81" t="s">
        <v>208</v>
      </c>
      <c r="B9" s="81"/>
      <c r="C9" s="81"/>
      <c r="D9" s="81"/>
      <c r="E9" s="81"/>
      <c r="F9" s="81"/>
    </row>
    <row r="10" spans="1:6" x14ac:dyDescent="0.25">
      <c r="A10" s="22" t="s">
        <v>211</v>
      </c>
    </row>
    <row r="11" spans="1:6" s="3" customFormat="1" ht="12.75" customHeight="1" x14ac:dyDescent="0.25">
      <c r="A11" s="82" t="s">
        <v>111</v>
      </c>
      <c r="B11" s="82" t="s">
        <v>1</v>
      </c>
      <c r="C11" s="82" t="s">
        <v>209</v>
      </c>
      <c r="D11" s="82" t="s">
        <v>3</v>
      </c>
      <c r="E11" s="83" t="s">
        <v>4</v>
      </c>
      <c r="F11" s="83" t="s">
        <v>5</v>
      </c>
    </row>
    <row r="12" spans="1:6" s="3" customFormat="1" ht="11.25" customHeight="1" x14ac:dyDescent="0.25">
      <c r="A12" s="82"/>
      <c r="B12" s="82"/>
      <c r="C12" s="82"/>
      <c r="D12" s="82"/>
      <c r="E12" s="83"/>
      <c r="F12" s="83"/>
    </row>
    <row r="13" spans="1:6" s="6" customFormat="1" ht="30" x14ac:dyDescent="0.25">
      <c r="A13" s="25">
        <v>100</v>
      </c>
      <c r="B13" s="11" t="str">
        <f t="shared" ref="B13:B67" si="0">VLOOKUP($A13,TAB,2,FALSE)</f>
        <v>Галузин Вячеслав Владимирович
Плесовских Сергей Владимирович</v>
      </c>
      <c r="C13" s="11" t="str">
        <f t="shared" ref="C13:C20" si="1">VLOOKUP($A13,TAB,3,FALSE)</f>
        <v>186713
186722</v>
      </c>
      <c r="D13" s="11" t="str">
        <f t="shared" ref="D13:D20" si="2">VLOOKUP($A13,TAB,4,FALSE)</f>
        <v>Златоуст
Златоуст</v>
      </c>
      <c r="E13" s="11" t="str">
        <f t="shared" ref="E13:E67" si="3">VLOOKUP($A13,TAB,5,FALSE)</f>
        <v>Прото</v>
      </c>
      <c r="F13" s="11" t="str">
        <f t="shared" ref="F13:F67" si="4">VLOOKUP($A13,TAB,6,FALSE)</f>
        <v>Hard</v>
      </c>
    </row>
    <row r="14" spans="1:6" s="6" customFormat="1" ht="30" x14ac:dyDescent="0.25">
      <c r="A14" s="25">
        <v>101</v>
      </c>
      <c r="B14" s="11" t="str">
        <f t="shared" si="0"/>
        <v>Малиновский Артем Александрович
Малиновский Антон Александрович</v>
      </c>
      <c r="C14" s="11" t="str">
        <f t="shared" si="1"/>
        <v>183370
183364</v>
      </c>
      <c r="D14" s="11" t="str">
        <f t="shared" si="2"/>
        <v>Н. Тагил
Н. Тагил</v>
      </c>
      <c r="E14" s="11" t="str">
        <f t="shared" si="3"/>
        <v>Прото</v>
      </c>
      <c r="F14" s="11" t="str">
        <f t="shared" si="4"/>
        <v>Hard</v>
      </c>
    </row>
    <row r="15" spans="1:6" s="6" customFormat="1" ht="30" x14ac:dyDescent="0.25">
      <c r="A15" s="25">
        <v>102</v>
      </c>
      <c r="B15" s="11" t="str">
        <f t="shared" si="0"/>
        <v>Иванов Артем Альбертович
Иванов Роман Альбертович</v>
      </c>
      <c r="C15" s="11">
        <f t="shared" si="1"/>
        <v>0</v>
      </c>
      <c r="D15" s="11" t="str">
        <f t="shared" si="2"/>
        <v>Кушва
Кушва</v>
      </c>
      <c r="E15" s="11" t="str">
        <f t="shared" si="3"/>
        <v>Прото</v>
      </c>
      <c r="F15" s="11" t="str">
        <f t="shared" si="4"/>
        <v>Hard</v>
      </c>
    </row>
    <row r="16" spans="1:6" s="6" customFormat="1" ht="30" x14ac:dyDescent="0.25">
      <c r="A16" s="25">
        <v>104</v>
      </c>
      <c r="B16" s="11" t="str">
        <f t="shared" si="0"/>
        <v>Минеев Юрий Александрович
Макаренко Сергей Викторович</v>
      </c>
      <c r="C16" s="11">
        <f t="shared" si="1"/>
        <v>0</v>
      </c>
      <c r="D16" s="11" t="str">
        <f t="shared" si="2"/>
        <v>Челябинск
Челябинск</v>
      </c>
      <c r="E16" s="11" t="str">
        <f t="shared" si="3"/>
        <v>Прото</v>
      </c>
      <c r="F16" s="11" t="str">
        <f t="shared" si="4"/>
        <v>Hard</v>
      </c>
    </row>
    <row r="17" spans="1:6" s="6" customFormat="1" ht="30" x14ac:dyDescent="0.25">
      <c r="A17" s="25">
        <v>105</v>
      </c>
      <c r="B17" s="11" t="str">
        <f t="shared" si="0"/>
        <v>Мошкин Петр Александрович
Солод Дмитрий Анатольевич</v>
      </c>
      <c r="C17" s="11" t="str">
        <f t="shared" si="1"/>
        <v>186707</v>
      </c>
      <c r="D17" s="11" t="str">
        <f t="shared" si="2"/>
        <v>Сатка
Коркино</v>
      </c>
      <c r="E17" s="11" t="str">
        <f t="shared" si="3"/>
        <v>Прото</v>
      </c>
      <c r="F17" s="11" t="str">
        <f t="shared" si="4"/>
        <v>Hard</v>
      </c>
    </row>
    <row r="18" spans="1:6" s="6" customFormat="1" ht="30" x14ac:dyDescent="0.25">
      <c r="A18" s="25">
        <v>107</v>
      </c>
      <c r="B18" s="11" t="str">
        <f t="shared" si="0"/>
        <v>Демидов Максим Владимирович
Назаров Сергей Александрович</v>
      </c>
      <c r="C18" s="11" t="str">
        <f t="shared" si="1"/>
        <v>186712</v>
      </c>
      <c r="D18" s="11" t="str">
        <f t="shared" si="2"/>
        <v>Челябинск
Челябинск</v>
      </c>
      <c r="E18" s="11" t="str">
        <f t="shared" si="3"/>
        <v>Прото</v>
      </c>
      <c r="F18" s="11" t="str">
        <f t="shared" si="4"/>
        <v>Hard</v>
      </c>
    </row>
    <row r="19" spans="1:6" s="6" customFormat="1" ht="30" x14ac:dyDescent="0.25">
      <c r="A19" s="25">
        <v>108</v>
      </c>
      <c r="B19" s="11" t="str">
        <f t="shared" si="0"/>
        <v>Насыров Артур Уралович
Котов Вячеслав Сергеевич</v>
      </c>
      <c r="C19" s="11" t="str">
        <f t="shared" si="1"/>
        <v>ххх
183677</v>
      </c>
      <c r="D19" s="11" t="str">
        <f t="shared" si="2"/>
        <v>Сатка
Тюмень</v>
      </c>
      <c r="E19" s="11" t="str">
        <f t="shared" si="3"/>
        <v>Прото</v>
      </c>
      <c r="F19" s="11" t="str">
        <f t="shared" si="4"/>
        <v>Hard</v>
      </c>
    </row>
    <row r="20" spans="1:6" s="6" customFormat="1" ht="30" x14ac:dyDescent="0.25">
      <c r="A20" s="25">
        <v>111</v>
      </c>
      <c r="B20" s="11" t="str">
        <f t="shared" si="0"/>
        <v>Айбазов Анзор Магометович
Хубиев Расул Леонович</v>
      </c>
      <c r="C20" s="11">
        <f t="shared" si="1"/>
        <v>0</v>
      </c>
      <c r="D20" s="11" t="str">
        <f t="shared" si="2"/>
        <v>КМВ
КМВ</v>
      </c>
      <c r="E20" s="11" t="str">
        <f t="shared" si="3"/>
        <v>Прото</v>
      </c>
      <c r="F20" s="11" t="str">
        <f t="shared" si="4"/>
        <v>Hard</v>
      </c>
    </row>
    <row r="21" spans="1:6" s="6" customFormat="1" ht="30" x14ac:dyDescent="0.25">
      <c r="A21" s="25">
        <v>201</v>
      </c>
      <c r="B21" s="11" t="str">
        <f t="shared" si="0"/>
        <v>Бикбулатов Илья Аликович
Стахеев Андрей Владимирович</v>
      </c>
      <c r="C21" s="11" t="str">
        <f t="shared" ref="C21:C45" si="5">VLOOKUP($A21,TAB,3,FALSE)</f>
        <v>183629
183930</v>
      </c>
      <c r="D21" s="11" t="str">
        <f t="shared" ref="D21:D45" si="6">VLOOKUP($A21,TAB,4,FALSE)</f>
        <v>Первоуральск
Первоуральск</v>
      </c>
      <c r="E21" s="11" t="str">
        <f t="shared" si="3"/>
        <v>УАЗ 31512</v>
      </c>
      <c r="F21" s="11" t="str">
        <f t="shared" si="4"/>
        <v>Medium</v>
      </c>
    </row>
    <row r="22" spans="1:6" s="6" customFormat="1" ht="30" x14ac:dyDescent="0.25">
      <c r="A22" s="25">
        <v>202</v>
      </c>
      <c r="B22" s="11" t="str">
        <f t="shared" si="0"/>
        <v>Клейн Александр Алексеевич
Манион Сергей Игоревич</v>
      </c>
      <c r="C22" s="11" t="str">
        <f t="shared" si="5"/>
        <v>D 170740</v>
      </c>
      <c r="D22" s="11" t="str">
        <f t="shared" si="6"/>
        <v>Екатеринбург
Екатеринбург</v>
      </c>
      <c r="E22" s="11" t="str">
        <f t="shared" si="3"/>
        <v>TLC 70</v>
      </c>
      <c r="F22" s="11" t="str">
        <f t="shared" si="4"/>
        <v>Medium</v>
      </c>
    </row>
    <row r="23" spans="1:6" s="6" customFormat="1" ht="30" x14ac:dyDescent="0.25">
      <c r="A23" s="25">
        <v>203</v>
      </c>
      <c r="B23" s="11" t="str">
        <f t="shared" si="0"/>
        <v>Павелин Евгений Модестович
Давыдов Сергей Владимирович</v>
      </c>
      <c r="C23" s="11" t="str">
        <f t="shared" si="5"/>
        <v>есть
есть</v>
      </c>
      <c r="D23" s="11" t="str">
        <f t="shared" si="6"/>
        <v>Екатеринбург
Екатеринбург</v>
      </c>
      <c r="E23" s="11" t="str">
        <f t="shared" si="3"/>
        <v>TLC 70</v>
      </c>
      <c r="F23" s="11" t="str">
        <f t="shared" si="4"/>
        <v>Medium</v>
      </c>
    </row>
    <row r="24" spans="1:6" s="6" customFormat="1" ht="30" x14ac:dyDescent="0.25">
      <c r="A24" s="25">
        <v>204</v>
      </c>
      <c r="B24" s="11" t="str">
        <f t="shared" si="0"/>
        <v>Пелевин Евгений Сергеевич
Прочуханов Игорь Игоревич</v>
      </c>
      <c r="C24" s="11" t="str">
        <f t="shared" si="5"/>
        <v>186710
186711</v>
      </c>
      <c r="D24" s="11" t="str">
        <f t="shared" si="6"/>
        <v>Полевской
Ревда</v>
      </c>
      <c r="E24" s="11" t="str">
        <f t="shared" si="3"/>
        <v>Нива 21213</v>
      </c>
      <c r="F24" s="11" t="str">
        <f t="shared" si="4"/>
        <v>Medium</v>
      </c>
    </row>
    <row r="25" spans="1:6" s="6" customFormat="1" ht="30" x14ac:dyDescent="0.25">
      <c r="A25" s="25">
        <v>205</v>
      </c>
      <c r="B25" s="11" t="str">
        <f t="shared" si="0"/>
        <v>Тетерин Роман Геннадьевич
Захаров Александр Васильевич</v>
      </c>
      <c r="C25" s="11" t="str">
        <f t="shared" si="5"/>
        <v>171307</v>
      </c>
      <c r="D25" s="11" t="str">
        <f t="shared" si="6"/>
        <v>Катайск
Катайск</v>
      </c>
      <c r="E25" s="11" t="str">
        <f t="shared" si="3"/>
        <v>УАЗ 469</v>
      </c>
      <c r="F25" s="11" t="str">
        <f t="shared" si="4"/>
        <v>Medium</v>
      </c>
    </row>
    <row r="26" spans="1:6" s="6" customFormat="1" ht="30" x14ac:dyDescent="0.25">
      <c r="A26" s="25">
        <v>206</v>
      </c>
      <c r="B26" s="11" t="str">
        <f t="shared" si="0"/>
        <v>Бачурин Антон Александрович
Лашков Антон Борисович</v>
      </c>
      <c r="C26" s="11">
        <f t="shared" si="5"/>
        <v>0</v>
      </c>
      <c r="D26" s="11" t="str">
        <f t="shared" si="6"/>
        <v>Камышлов
Камышлов</v>
      </c>
      <c r="E26" s="11" t="str">
        <f t="shared" si="3"/>
        <v>ГАЗ-69</v>
      </c>
      <c r="F26" s="11" t="str">
        <f t="shared" si="4"/>
        <v>Medium</v>
      </c>
    </row>
    <row r="27" spans="1:6" s="6" customFormat="1" ht="30" x14ac:dyDescent="0.25">
      <c r="A27" s="25">
        <v>207</v>
      </c>
      <c r="B27" s="11" t="str">
        <f t="shared" si="0"/>
        <v>Моисеев Сергей Александрович
Никитин Сергей Владимирович</v>
      </c>
      <c r="C27" s="11">
        <f t="shared" si="5"/>
        <v>0</v>
      </c>
      <c r="D27" s="11" t="str">
        <f t="shared" si="6"/>
        <v>Челябинск
Челябинск</v>
      </c>
      <c r="E27" s="11" t="str">
        <f t="shared" si="3"/>
        <v>ВАЗ 2121</v>
      </c>
      <c r="F27" s="11" t="str">
        <f t="shared" si="4"/>
        <v>Medium</v>
      </c>
    </row>
    <row r="28" spans="1:6" s="6" customFormat="1" ht="30" x14ac:dyDescent="0.25">
      <c r="A28" s="25">
        <v>208</v>
      </c>
      <c r="B28" s="11" t="str">
        <f t="shared" si="0"/>
        <v>Корбков Алексей Сергеевич
Корбков Алексей Сергеевич</v>
      </c>
      <c r="C28" s="11">
        <f t="shared" si="5"/>
        <v>0</v>
      </c>
      <c r="D28" s="11" t="str">
        <f t="shared" si="6"/>
        <v>Тюмень
Тюмень</v>
      </c>
      <c r="E28" s="11" t="str">
        <f t="shared" si="3"/>
        <v>ВАЗ 2121</v>
      </c>
      <c r="F28" s="11" t="str">
        <f t="shared" si="4"/>
        <v>Light</v>
      </c>
    </row>
    <row r="29" spans="1:6" s="6" customFormat="1" ht="30" x14ac:dyDescent="0.25">
      <c r="A29" s="25">
        <v>209</v>
      </c>
      <c r="B29" s="11" t="str">
        <f t="shared" si="0"/>
        <v>Фахритдинов Альберт Фикратович 
Головко Кирилл Юрьевич</v>
      </c>
      <c r="C29" s="11" t="str">
        <f t="shared" si="5"/>
        <v>183663</v>
      </c>
      <c r="D29" s="11" t="str">
        <f t="shared" si="6"/>
        <v>Екатеринбург
Екатеринбург</v>
      </c>
      <c r="E29" s="11" t="str">
        <f t="shared" si="3"/>
        <v>Jeep Grand Cherokee</v>
      </c>
      <c r="F29" s="11" t="str">
        <f t="shared" si="4"/>
        <v>Medium</v>
      </c>
    </row>
    <row r="30" spans="1:6" s="6" customFormat="1" ht="30" x14ac:dyDescent="0.25">
      <c r="A30" s="25">
        <v>301</v>
      </c>
      <c r="B30" s="11" t="str">
        <f t="shared" si="0"/>
        <v>Бобров Алексей Сергеевич
Соколов Андрей Андреевич</v>
      </c>
      <c r="C30" s="11">
        <f t="shared" si="5"/>
        <v>0</v>
      </c>
      <c r="D30" s="11" t="str">
        <f t="shared" si="6"/>
        <v>Н. Тагил
Н. Тагил</v>
      </c>
      <c r="E30" s="11" t="str">
        <f t="shared" si="3"/>
        <v>УАЗ 315195</v>
      </c>
      <c r="F30" s="11" t="str">
        <f t="shared" si="4"/>
        <v>Light</v>
      </c>
    </row>
    <row r="31" spans="1:6" s="6" customFormat="1" ht="30" x14ac:dyDescent="0.25">
      <c r="A31" s="25">
        <v>302</v>
      </c>
      <c r="B31" s="11" t="str">
        <f t="shared" si="0"/>
        <v>Гончар Алексей Евгеньевич
Захаров Артем Олегович</v>
      </c>
      <c r="C31" s="11" t="str">
        <f t="shared" si="5"/>
        <v>86679</v>
      </c>
      <c r="D31" s="11" t="str">
        <f t="shared" si="6"/>
        <v>Копейск
Копейск</v>
      </c>
      <c r="E31" s="11" t="str">
        <f t="shared" si="3"/>
        <v>Mitsubishi Pajero</v>
      </c>
      <c r="F31" s="11" t="str">
        <f t="shared" si="4"/>
        <v>Light</v>
      </c>
    </row>
    <row r="32" spans="1:6" s="6" customFormat="1" ht="30" x14ac:dyDescent="0.25">
      <c r="A32" s="25">
        <v>303</v>
      </c>
      <c r="B32" s="11" t="str">
        <f t="shared" si="0"/>
        <v>Яснов Александр Павлович
Клюсов Евгений Петрович</v>
      </c>
      <c r="C32" s="11" t="str">
        <f t="shared" si="5"/>
        <v>181380</v>
      </c>
      <c r="D32" s="11" t="str">
        <f t="shared" si="6"/>
        <v>Тюмень
Тюмень</v>
      </c>
      <c r="E32" s="11" t="str">
        <f t="shared" si="3"/>
        <v>Suzuki Jimny</v>
      </c>
      <c r="F32" s="11" t="str">
        <f t="shared" si="4"/>
        <v>Light</v>
      </c>
    </row>
    <row r="33" spans="1:6" s="6" customFormat="1" ht="30" x14ac:dyDescent="0.25">
      <c r="A33" s="25">
        <v>304</v>
      </c>
      <c r="B33" s="11" t="str">
        <f t="shared" si="0"/>
        <v>Извеков Вадим Васильевич
Просеков Алексей Федорович</v>
      </c>
      <c r="C33" s="11">
        <f t="shared" si="5"/>
        <v>0</v>
      </c>
      <c r="D33" s="11" t="str">
        <f t="shared" si="6"/>
        <v>Юргамыш
Юргамыш</v>
      </c>
      <c r="E33" s="11" t="str">
        <f t="shared" si="3"/>
        <v>УАЗ 31514</v>
      </c>
      <c r="F33" s="11" t="str">
        <f t="shared" si="4"/>
        <v>Light</v>
      </c>
    </row>
    <row r="34" spans="1:6" s="6" customFormat="1" ht="30" x14ac:dyDescent="0.25">
      <c r="A34" s="25">
        <v>305</v>
      </c>
      <c r="B34" s="11" t="str">
        <f t="shared" si="0"/>
        <v>Коркодинов Андрей Игоревич
Ибрагимов Рамиль Зуфарович</v>
      </c>
      <c r="C34" s="11">
        <f t="shared" si="5"/>
        <v>0</v>
      </c>
      <c r="D34" s="11" t="str">
        <f t="shared" si="6"/>
        <v>Реж
Реж</v>
      </c>
      <c r="E34" s="11" t="str">
        <f t="shared" si="3"/>
        <v>Нива 2121</v>
      </c>
      <c r="F34" s="11" t="str">
        <f t="shared" si="4"/>
        <v>Light</v>
      </c>
    </row>
    <row r="35" spans="1:6" s="6" customFormat="1" ht="30" x14ac:dyDescent="0.25">
      <c r="A35" s="25">
        <v>306</v>
      </c>
      <c r="B35" s="11" t="str">
        <f t="shared" si="0"/>
        <v>Маньков Игорь Анатольевич
Охотников Максим Дмитриевич</v>
      </c>
      <c r="C35" s="11">
        <f t="shared" si="5"/>
        <v>0</v>
      </c>
      <c r="D35" s="11" t="str">
        <f t="shared" si="6"/>
        <v>Екатеринбург
Снежинск</v>
      </c>
      <c r="E35" s="11" t="str">
        <f t="shared" si="3"/>
        <v>TLC 70</v>
      </c>
      <c r="F35" s="11" t="str">
        <f t="shared" si="4"/>
        <v>Light</v>
      </c>
    </row>
    <row r="36" spans="1:6" s="6" customFormat="1" ht="30" x14ac:dyDescent="0.25">
      <c r="A36" s="25">
        <v>307</v>
      </c>
      <c r="B36" s="11" t="str">
        <f t="shared" si="0"/>
        <v>Мякишев Егор Алексеевич
Харламов Евгений Сергеевич</v>
      </c>
      <c r="C36" s="11" t="str">
        <f t="shared" si="5"/>
        <v>186683
183635</v>
      </c>
      <c r="D36" s="11" t="str">
        <f t="shared" si="6"/>
        <v>Невьянск
Екатеринбург</v>
      </c>
      <c r="E36" s="11" t="str">
        <f t="shared" si="3"/>
        <v>Suzuki Jimny</v>
      </c>
      <c r="F36" s="11" t="str">
        <f t="shared" si="4"/>
        <v>Light</v>
      </c>
    </row>
    <row r="37" spans="1:6" s="6" customFormat="1" ht="30" x14ac:dyDescent="0.25">
      <c r="A37" s="25">
        <v>308</v>
      </c>
      <c r="B37" s="11" t="str">
        <f t="shared" si="0"/>
        <v>Нигматуллин Ильшат Ришатович
Чуманов Сергей Владимирович</v>
      </c>
      <c r="C37" s="11" t="str">
        <f t="shared" si="5"/>
        <v>185356</v>
      </c>
      <c r="D37" s="11" t="str">
        <f t="shared" si="6"/>
        <v>Уфа
Уфа</v>
      </c>
      <c r="E37" s="11" t="str">
        <f t="shared" si="3"/>
        <v>ВАЗ 21214</v>
      </c>
      <c r="F37" s="11" t="str">
        <f t="shared" si="4"/>
        <v>Light</v>
      </c>
    </row>
    <row r="38" spans="1:6" s="6" customFormat="1" ht="30" x14ac:dyDescent="0.25">
      <c r="A38" s="25">
        <v>309</v>
      </c>
      <c r="B38" s="11" t="str">
        <f t="shared" si="0"/>
        <v>Павлов Алексей Сергеевич
Чернов Анатолий Михайлович</v>
      </c>
      <c r="C38" s="11">
        <f t="shared" si="5"/>
        <v>0</v>
      </c>
      <c r="D38" s="11" t="str">
        <f t="shared" si="6"/>
        <v>Юргамыш
Юргамыш</v>
      </c>
      <c r="E38" s="11" t="str">
        <f t="shared" si="3"/>
        <v>УАЗ 469</v>
      </c>
      <c r="F38" s="11" t="str">
        <f t="shared" si="4"/>
        <v>Light</v>
      </c>
    </row>
    <row r="39" spans="1:6" s="6" customFormat="1" ht="30" x14ac:dyDescent="0.25">
      <c r="A39" s="25">
        <v>310</v>
      </c>
      <c r="B39" s="11" t="str">
        <f t="shared" si="0"/>
        <v>Пантелеев Сергей Павлович
Ефремов Кирилл Андреевич</v>
      </c>
      <c r="C39" s="11">
        <f t="shared" si="5"/>
        <v>0</v>
      </c>
      <c r="D39" s="11" t="str">
        <f t="shared" si="6"/>
        <v>Челябинск
Челябинск</v>
      </c>
      <c r="E39" s="11" t="str">
        <f t="shared" si="3"/>
        <v>Jeep Grand Cherokee</v>
      </c>
      <c r="F39" s="11" t="str">
        <f t="shared" si="4"/>
        <v>Light</v>
      </c>
    </row>
    <row r="40" spans="1:6" s="6" customFormat="1" ht="30" x14ac:dyDescent="0.25">
      <c r="A40" s="25">
        <v>311</v>
      </c>
      <c r="B40" s="11" t="str">
        <f t="shared" si="0"/>
        <v>Плотников Андрей Юрьевич
Прокопович Арсений Витальевич</v>
      </c>
      <c r="C40" s="11" t="str">
        <f t="shared" si="5"/>
        <v>185396
184510</v>
      </c>
      <c r="D40" s="11" t="str">
        <f t="shared" si="6"/>
        <v>Тюмень
Тюмень</v>
      </c>
      <c r="E40" s="11" t="str">
        <f t="shared" si="3"/>
        <v>Нива 2121</v>
      </c>
      <c r="F40" s="11" t="str">
        <f t="shared" si="4"/>
        <v>Light</v>
      </c>
    </row>
    <row r="41" spans="1:6" s="6" customFormat="1" ht="30" x14ac:dyDescent="0.25">
      <c r="A41" s="25">
        <v>312</v>
      </c>
      <c r="B41" s="11" t="str">
        <f t="shared" si="0"/>
        <v>Цветков Никита Александрович
Крякунов Антон Александрович</v>
      </c>
      <c r="C41" s="11">
        <f t="shared" si="5"/>
        <v>0</v>
      </c>
      <c r="D41" s="11" t="str">
        <f t="shared" si="6"/>
        <v>Реж
Реж</v>
      </c>
      <c r="E41" s="11" t="str">
        <f t="shared" si="3"/>
        <v>Нива 2123</v>
      </c>
      <c r="F41" s="11" t="str">
        <f t="shared" si="4"/>
        <v>Light</v>
      </c>
    </row>
    <row r="42" spans="1:6" s="6" customFormat="1" ht="30" x14ac:dyDescent="0.25">
      <c r="A42" s="25">
        <v>313</v>
      </c>
      <c r="B42" s="11" t="str">
        <f t="shared" si="0"/>
        <v>Иванов Артем Викторович
Пшикун Михаил Андреевич</v>
      </c>
      <c r="C42" s="11">
        <f t="shared" si="5"/>
        <v>0</v>
      </c>
      <c r="D42" s="11" t="str">
        <f t="shared" si="6"/>
        <v>Н. Тагил
Н. Тагил</v>
      </c>
      <c r="E42" s="11" t="str">
        <f t="shared" si="3"/>
        <v>Нива 2121</v>
      </c>
      <c r="F42" s="11" t="str">
        <f t="shared" si="4"/>
        <v>Light</v>
      </c>
    </row>
    <row r="43" spans="1:6" s="6" customFormat="1" ht="45" x14ac:dyDescent="0.25">
      <c r="A43" s="25">
        <v>314</v>
      </c>
      <c r="B43" s="11" t="str">
        <f t="shared" si="0"/>
        <v>Ачимов Павел Викторович
Алчебаев Николай Юрьевич</v>
      </c>
      <c r="C43" s="11">
        <f t="shared" si="5"/>
        <v>0</v>
      </c>
      <c r="D43" s="11" t="str">
        <f t="shared" si="6"/>
        <v>Екатеринбург
Екатеринбург</v>
      </c>
      <c r="E43" s="11" t="str">
        <f t="shared" si="3"/>
        <v>Jeep Cherokee Wagoner</v>
      </c>
      <c r="F43" s="11" t="str">
        <f t="shared" si="4"/>
        <v>Light</v>
      </c>
    </row>
    <row r="44" spans="1:6" s="6" customFormat="1" ht="30" x14ac:dyDescent="0.25">
      <c r="A44" s="25">
        <v>315</v>
      </c>
      <c r="B44" s="11" t="str">
        <f t="shared" si="0"/>
        <v>Чуешов Дмитрий Александрович
Глебов Дмитрий Владимирович</v>
      </c>
      <c r="C44" s="11">
        <f t="shared" si="5"/>
        <v>0</v>
      </c>
      <c r="D44" s="11" t="str">
        <f t="shared" si="6"/>
        <v>Екатеринбург
Екатеринбург</v>
      </c>
      <c r="E44" s="11" t="str">
        <f t="shared" si="3"/>
        <v>УАЗ-469</v>
      </c>
      <c r="F44" s="11" t="str">
        <f t="shared" si="4"/>
        <v>Light</v>
      </c>
    </row>
    <row r="45" spans="1:6" s="6" customFormat="1" ht="30" x14ac:dyDescent="0.25">
      <c r="A45" s="25">
        <v>316</v>
      </c>
      <c r="B45" s="11" t="str">
        <f t="shared" si="0"/>
        <v>Сумин Андрей Станиславович
Петров Сергей Александрович</v>
      </c>
      <c r="C45" s="11">
        <f t="shared" si="5"/>
        <v>0</v>
      </c>
      <c r="D45" s="11" t="str">
        <f t="shared" si="6"/>
        <v>Челябинск
Челябинск</v>
      </c>
      <c r="E45" s="11" t="str">
        <f t="shared" si="3"/>
        <v>ВАЗ 2121</v>
      </c>
      <c r="F45" s="11" t="str">
        <f t="shared" si="4"/>
        <v>Light</v>
      </c>
    </row>
    <row r="46" spans="1:6" s="6" customFormat="1" ht="30" x14ac:dyDescent="0.25">
      <c r="A46" s="25">
        <v>317</v>
      </c>
      <c r="B46" s="11" t="str">
        <f t="shared" si="0"/>
        <v>Костромин Сергей Михайлович
Кольцов Виктор Александрович</v>
      </c>
      <c r="C46" s="11">
        <f t="shared" ref="C46:C67" si="7">VLOOKUP($A46,TAB,3,FALSE)</f>
        <v>0</v>
      </c>
      <c r="D46" s="11" t="str">
        <f t="shared" ref="D46:D67" si="8">VLOOKUP($A46,TAB,4,FALSE)</f>
        <v>В. Пышма
В. Пышма</v>
      </c>
      <c r="E46" s="11" t="str">
        <f t="shared" si="3"/>
        <v>УАЗ-31512</v>
      </c>
      <c r="F46" s="11" t="str">
        <f t="shared" si="4"/>
        <v>Light</v>
      </c>
    </row>
    <row r="47" spans="1:6" s="6" customFormat="1" ht="30" x14ac:dyDescent="0.25">
      <c r="A47" s="25">
        <v>318</v>
      </c>
      <c r="B47" s="11" t="str">
        <f t="shared" si="0"/>
        <v>Осокин Михаил Сергеевич
Осокин Александр Сергеевич</v>
      </c>
      <c r="C47" s="11">
        <f t="shared" si="7"/>
        <v>0</v>
      </c>
      <c r="D47" s="11" t="str">
        <f t="shared" si="8"/>
        <v>п. Восточный
п. Восточный</v>
      </c>
      <c r="E47" s="11" t="str">
        <f t="shared" si="3"/>
        <v>УАЗ Пикап</v>
      </c>
      <c r="F47" s="11" t="str">
        <f t="shared" si="4"/>
        <v>Light</v>
      </c>
    </row>
    <row r="48" spans="1:6" s="6" customFormat="1" ht="30" x14ac:dyDescent="0.25">
      <c r="A48" s="25">
        <v>319</v>
      </c>
      <c r="B48" s="11" t="str">
        <f t="shared" si="0"/>
        <v>Тимофеев Александр Николаевич
Белкин Александр Сергеевич</v>
      </c>
      <c r="C48" s="11">
        <f t="shared" si="7"/>
        <v>0</v>
      </c>
      <c r="D48" s="11" t="str">
        <f t="shared" si="8"/>
        <v>Пермь
Пермь</v>
      </c>
      <c r="E48" s="11" t="str">
        <f t="shared" si="3"/>
        <v>Нива</v>
      </c>
      <c r="F48" s="11" t="str">
        <f t="shared" si="4"/>
        <v>Light</v>
      </c>
    </row>
    <row r="49" spans="1:6" s="6" customFormat="1" ht="30" x14ac:dyDescent="0.25">
      <c r="A49" s="25">
        <v>320</v>
      </c>
      <c r="B49" s="11" t="str">
        <f t="shared" si="0"/>
        <v>Сунаргулов Руслан Раянович
Алеев Андрей Мухаметшаевич</v>
      </c>
      <c r="C49" s="11">
        <f t="shared" si="7"/>
        <v>0</v>
      </c>
      <c r="D49" s="11" t="str">
        <f t="shared" si="8"/>
        <v>Челябинск
Челябинск</v>
      </c>
      <c r="E49" s="11" t="str">
        <f t="shared" si="3"/>
        <v>Nissan Patrol</v>
      </c>
      <c r="F49" s="11" t="str">
        <f t="shared" si="4"/>
        <v>Light</v>
      </c>
    </row>
    <row r="50" spans="1:6" s="6" customFormat="1" ht="30" x14ac:dyDescent="0.25">
      <c r="A50" s="25">
        <v>400</v>
      </c>
      <c r="B50" s="11" t="str">
        <f t="shared" si="0"/>
        <v>Арсентьев Вадим Петрович
Гурьянов Виктор Григорьевич</v>
      </c>
      <c r="C50" s="11" t="str">
        <f t="shared" si="7"/>
        <v>171253</v>
      </c>
      <c r="D50" s="11" t="str">
        <f t="shared" si="8"/>
        <v>Златоуст
Златоуст</v>
      </c>
      <c r="E50" s="11" t="str">
        <f t="shared" si="3"/>
        <v>TLC 79</v>
      </c>
      <c r="F50" s="11" t="str">
        <f t="shared" si="4"/>
        <v>Extra Light</v>
      </c>
    </row>
    <row r="51" spans="1:6" s="6" customFormat="1" ht="30" x14ac:dyDescent="0.25">
      <c r="A51" s="25">
        <v>401</v>
      </c>
      <c r="B51" s="11" t="str">
        <f t="shared" si="0"/>
        <v>Базылев Максим Сергеевич
Эйкевич Владимир Олегович</v>
      </c>
      <c r="C51" s="11">
        <f t="shared" si="7"/>
        <v>0</v>
      </c>
      <c r="D51" s="11" t="str">
        <f t="shared" si="8"/>
        <v>Челябинск
Челябинск</v>
      </c>
      <c r="E51" s="11" t="str">
        <f t="shared" si="3"/>
        <v>УАЗ Патриот</v>
      </c>
      <c r="F51" s="11" t="str">
        <f t="shared" si="4"/>
        <v>Extra Light</v>
      </c>
    </row>
    <row r="52" spans="1:6" s="6" customFormat="1" ht="30" x14ac:dyDescent="0.25">
      <c r="A52" s="25">
        <v>402</v>
      </c>
      <c r="B52" s="11" t="str">
        <f t="shared" si="0"/>
        <v>Бекметов Рустам Олегович
Песняев Евгений Анатольевич</v>
      </c>
      <c r="C52" s="11" t="str">
        <f t="shared" si="7"/>
        <v>182909</v>
      </c>
      <c r="D52" s="11" t="str">
        <f t="shared" si="8"/>
        <v>Магнитогорск
Магнитогорск</v>
      </c>
      <c r="E52" s="11" t="str">
        <f t="shared" si="3"/>
        <v>Suzuki Samurai</v>
      </c>
      <c r="F52" s="11" t="str">
        <f t="shared" si="4"/>
        <v>Extra Light</v>
      </c>
    </row>
    <row r="53" spans="1:6" s="6" customFormat="1" ht="30" x14ac:dyDescent="0.25">
      <c r="A53" s="25">
        <v>403</v>
      </c>
      <c r="B53" s="11" t="str">
        <f t="shared" si="0"/>
        <v>Бураков Евгений Станиславович
Бураков Павел Евгеньевич</v>
      </c>
      <c r="C53" s="11">
        <f t="shared" si="7"/>
        <v>0</v>
      </c>
      <c r="D53" s="11" t="str">
        <f t="shared" si="8"/>
        <v>Челябинск
Челябинск</v>
      </c>
      <c r="E53" s="11" t="str">
        <f t="shared" si="3"/>
        <v>УАЗ Патриот</v>
      </c>
      <c r="F53" s="11" t="str">
        <f t="shared" si="4"/>
        <v>Extra Light</v>
      </c>
    </row>
    <row r="54" spans="1:6" s="6" customFormat="1" ht="30" x14ac:dyDescent="0.25">
      <c r="A54" s="25">
        <v>405</v>
      </c>
      <c r="B54" s="11" t="str">
        <f t="shared" si="0"/>
        <v>Добрыдин Андрей Николаевич
Голубенкова Анна Сергеевна</v>
      </c>
      <c r="C54" s="11">
        <f t="shared" si="7"/>
        <v>0</v>
      </c>
      <c r="D54" s="11" t="str">
        <f t="shared" si="8"/>
        <v>Челябинск
Челябинск</v>
      </c>
      <c r="E54" s="11" t="str">
        <f t="shared" si="3"/>
        <v>Mitsubishi Pajero Mini</v>
      </c>
      <c r="F54" s="11" t="str">
        <f t="shared" si="4"/>
        <v>Extra Light</v>
      </c>
    </row>
    <row r="55" spans="1:6" s="6" customFormat="1" ht="30" x14ac:dyDescent="0.25">
      <c r="A55" s="25">
        <v>406</v>
      </c>
      <c r="B55" s="11" t="str">
        <f t="shared" si="0"/>
        <v>Унжакова Юлия Александровна
Перьев Максим Вячеславович</v>
      </c>
      <c r="C55" s="11">
        <f t="shared" si="7"/>
        <v>0</v>
      </c>
      <c r="D55" s="11" t="str">
        <f t="shared" si="8"/>
        <v>Снежинск
Снежинск</v>
      </c>
      <c r="E55" s="11" t="str">
        <f t="shared" si="3"/>
        <v>Нива 21213</v>
      </c>
      <c r="F55" s="11" t="str">
        <f t="shared" si="4"/>
        <v>Extra Light</v>
      </c>
    </row>
    <row r="56" spans="1:6" s="6" customFormat="1" ht="30" x14ac:dyDescent="0.25">
      <c r="A56" s="25">
        <v>407</v>
      </c>
      <c r="B56" s="11" t="str">
        <f t="shared" si="0"/>
        <v>Шаталов Сергей Евгеньевич
Утев Денис Михайлович</v>
      </c>
      <c r="C56" s="11">
        <f t="shared" si="7"/>
        <v>0</v>
      </c>
      <c r="D56" s="11" t="str">
        <f t="shared" si="8"/>
        <v>Челябинск
Челябинск</v>
      </c>
      <c r="E56" s="11" t="str">
        <f t="shared" si="3"/>
        <v>Renault Kaleos</v>
      </c>
      <c r="F56" s="11" t="str">
        <f t="shared" si="4"/>
        <v>Extra Light</v>
      </c>
    </row>
    <row r="57" spans="1:6" s="6" customFormat="1" ht="30" x14ac:dyDescent="0.25">
      <c r="A57" s="25">
        <v>408</v>
      </c>
      <c r="B57" s="11" t="str">
        <f t="shared" si="0"/>
        <v>Павлов Евгений Валерьевич
Шабашов Константин Владимирович</v>
      </c>
      <c r="C57" s="11">
        <f t="shared" si="7"/>
        <v>0</v>
      </c>
      <c r="D57" s="11" t="str">
        <f t="shared" si="8"/>
        <v>Тверь
Челябинск</v>
      </c>
      <c r="E57" s="11" t="str">
        <f t="shared" si="3"/>
        <v>УАЗ Патриот</v>
      </c>
      <c r="F57" s="11" t="str">
        <f t="shared" si="4"/>
        <v>Extra Light</v>
      </c>
    </row>
    <row r="58" spans="1:6" s="6" customFormat="1" ht="30" x14ac:dyDescent="0.25">
      <c r="A58" s="25">
        <v>409</v>
      </c>
      <c r="B58" s="11" t="str">
        <f t="shared" si="0"/>
        <v>Курманов Сергей Валерьевич
Жуламанов Вадим Валеевич</v>
      </c>
      <c r="C58" s="11" t="str">
        <f t="shared" si="7"/>
        <v>171301</v>
      </c>
      <c r="D58" s="11" t="str">
        <f t="shared" si="8"/>
        <v>Троицк
Троицк</v>
      </c>
      <c r="E58" s="11" t="str">
        <f t="shared" si="3"/>
        <v>ВАЗ 21214М</v>
      </c>
      <c r="F58" s="11" t="str">
        <f t="shared" si="4"/>
        <v>Extra Light</v>
      </c>
    </row>
    <row r="59" spans="1:6" s="6" customFormat="1" ht="30" x14ac:dyDescent="0.25">
      <c r="A59" s="25">
        <v>410</v>
      </c>
      <c r="B59" s="11" t="str">
        <f t="shared" si="0"/>
        <v>Горобец Владимир Валерьевич
Горобец Жанна Валентиновна</v>
      </c>
      <c r="C59" s="11">
        <f t="shared" si="7"/>
        <v>0</v>
      </c>
      <c r="D59" s="11" t="str">
        <f t="shared" si="8"/>
        <v>Челябинск
Челябинск</v>
      </c>
      <c r="E59" s="11" t="str">
        <f t="shared" si="3"/>
        <v>ГрейтВолл Ховер3</v>
      </c>
      <c r="F59" s="11" t="str">
        <f t="shared" si="4"/>
        <v>Extra Light</v>
      </c>
    </row>
    <row r="60" spans="1:6" s="6" customFormat="1" ht="30" x14ac:dyDescent="0.25">
      <c r="A60" s="25">
        <v>411</v>
      </c>
      <c r="B60" s="11" t="str">
        <f t="shared" si="0"/>
        <v>Юков Роман Александрович
Шнейдер Артем Александрович</v>
      </c>
      <c r="C60" s="11">
        <f t="shared" si="7"/>
        <v>0</v>
      </c>
      <c r="D60" s="11" t="str">
        <f t="shared" si="8"/>
        <v>Куртамыш
Куртамыш</v>
      </c>
      <c r="E60" s="11" t="str">
        <f t="shared" si="3"/>
        <v>Нива 21213</v>
      </c>
      <c r="F60" s="11" t="str">
        <f t="shared" si="4"/>
        <v>Extra Light</v>
      </c>
    </row>
    <row r="61" spans="1:6" s="6" customFormat="1" ht="30" x14ac:dyDescent="0.25">
      <c r="A61" s="25">
        <v>412</v>
      </c>
      <c r="B61" s="11" t="str">
        <f t="shared" si="0"/>
        <v>Фаттахов Владик Мансурович
Абдулин Сергей Аликович</v>
      </c>
      <c r="C61" s="11">
        <f t="shared" si="7"/>
        <v>0</v>
      </c>
      <c r="D61" s="11" t="str">
        <f t="shared" si="8"/>
        <v>Челябинск
Челябинск</v>
      </c>
      <c r="E61" s="11" t="str">
        <f t="shared" si="3"/>
        <v>ВАЗ 21214</v>
      </c>
      <c r="F61" s="11" t="str">
        <f t="shared" si="4"/>
        <v>Extra Light</v>
      </c>
    </row>
    <row r="62" spans="1:6" s="6" customFormat="1" ht="30" x14ac:dyDescent="0.25">
      <c r="A62" s="25">
        <v>413</v>
      </c>
      <c r="B62" s="11" t="str">
        <f t="shared" si="0"/>
        <v>Таверов Федор Петрович
Сагдеев Андрей Рамильевич</v>
      </c>
      <c r="C62" s="11">
        <f t="shared" si="7"/>
        <v>0</v>
      </c>
      <c r="D62" s="11" t="str">
        <f t="shared" si="8"/>
        <v>Челябинск
Челябинск</v>
      </c>
      <c r="E62" s="11" t="str">
        <f t="shared" si="3"/>
        <v>ВАЗ 21214</v>
      </c>
      <c r="F62" s="11" t="str">
        <f t="shared" si="4"/>
        <v>Extra Light</v>
      </c>
    </row>
    <row r="63" spans="1:6" s="6" customFormat="1" ht="30" x14ac:dyDescent="0.25">
      <c r="A63" s="25">
        <v>414</v>
      </c>
      <c r="B63" s="11" t="str">
        <f t="shared" si="0"/>
        <v>Ефимов Юрий Владимирович
Мокринский Олег Владиславович</v>
      </c>
      <c r="C63" s="11">
        <f t="shared" si="7"/>
        <v>0</v>
      </c>
      <c r="D63" s="11" t="str">
        <f t="shared" si="8"/>
        <v>Камышлов
Камышлов</v>
      </c>
      <c r="E63" s="11" t="str">
        <f t="shared" si="3"/>
        <v>ВАЗ 2123</v>
      </c>
      <c r="F63" s="11" t="str">
        <f t="shared" si="4"/>
        <v>Extra Light</v>
      </c>
    </row>
    <row r="64" spans="1:6" s="6" customFormat="1" ht="30" x14ac:dyDescent="0.25">
      <c r="A64" s="25">
        <v>415</v>
      </c>
      <c r="B64" s="11" t="str">
        <f t="shared" si="0"/>
        <v>Пуртов Александр Сергеевич
Соловьев Александр Вячеславович</v>
      </c>
      <c r="C64" s="11">
        <f t="shared" si="7"/>
        <v>0</v>
      </c>
      <c r="D64" s="11" t="str">
        <f t="shared" si="8"/>
        <v>Екатеринбург
Екатеринбург</v>
      </c>
      <c r="E64" s="11">
        <f t="shared" si="3"/>
        <v>0</v>
      </c>
      <c r="F64" s="11" t="str">
        <f t="shared" si="4"/>
        <v>Extra Light</v>
      </c>
    </row>
    <row r="65" spans="1:14" s="6" customFormat="1" ht="45" x14ac:dyDescent="0.25">
      <c r="A65" s="25">
        <v>416</v>
      </c>
      <c r="B65" s="11" t="str">
        <f t="shared" si="0"/>
        <v>Бикмухаметов Альберт Гадульфатович
Кожевников Петр Владимирович</v>
      </c>
      <c r="C65" s="11">
        <f t="shared" si="7"/>
        <v>0</v>
      </c>
      <c r="D65" s="11" t="str">
        <f t="shared" si="8"/>
        <v>Магнитогорск
Магнитогорск</v>
      </c>
      <c r="E65" s="11" t="str">
        <f t="shared" si="3"/>
        <v>Нива Шевроле</v>
      </c>
      <c r="F65" s="11" t="str">
        <f t="shared" si="4"/>
        <v>Extra Light</v>
      </c>
    </row>
    <row r="66" spans="1:14" s="6" customFormat="1" ht="30" x14ac:dyDescent="0.25">
      <c r="A66" s="25">
        <v>417</v>
      </c>
      <c r="B66" s="11" t="str">
        <f t="shared" si="0"/>
        <v>Голубев Валерий Викторович
Зее Ян Игоревич</v>
      </c>
      <c r="C66" s="11">
        <f t="shared" si="7"/>
        <v>0</v>
      </c>
      <c r="D66" s="11" t="str">
        <f t="shared" si="8"/>
        <v>Челябинск
Челябинск</v>
      </c>
      <c r="E66" s="11">
        <f t="shared" si="3"/>
        <v>0</v>
      </c>
      <c r="F66" s="11" t="str">
        <f t="shared" si="4"/>
        <v>Extra Light</v>
      </c>
    </row>
    <row r="67" spans="1:14" s="6" customFormat="1" ht="30" x14ac:dyDescent="0.25">
      <c r="A67" s="25">
        <v>418</v>
      </c>
      <c r="B67" s="11" t="str">
        <f t="shared" si="0"/>
        <v>Слободин Анатолий Олегович
Коровяковский Андрей Алексеевич</v>
      </c>
      <c r="C67" s="11">
        <f t="shared" si="7"/>
        <v>0</v>
      </c>
      <c r="D67" s="11" t="str">
        <f t="shared" si="8"/>
        <v>Сатка
Сатка</v>
      </c>
      <c r="E67" s="11">
        <f t="shared" si="3"/>
        <v>0</v>
      </c>
      <c r="F67" s="11" t="str">
        <f t="shared" si="4"/>
        <v>Extra Light</v>
      </c>
    </row>
    <row r="69" spans="1:14" x14ac:dyDescent="0.25">
      <c r="E69" s="72" t="s">
        <v>210</v>
      </c>
      <c r="F69" s="73">
        <f>SUM(F70:F75)</f>
        <v>55</v>
      </c>
    </row>
    <row r="70" spans="1:14" x14ac:dyDescent="0.25">
      <c r="E70" s="24" t="s">
        <v>97</v>
      </c>
      <c r="F70" s="1">
        <f t="shared" ref="F70:F75" si="9">COUNTIF($F$13:$F$67,E70)</f>
        <v>8</v>
      </c>
    </row>
    <row r="71" spans="1:14" x14ac:dyDescent="0.25">
      <c r="E71" s="24" t="s">
        <v>98</v>
      </c>
      <c r="F71" s="1">
        <f t="shared" si="9"/>
        <v>8</v>
      </c>
    </row>
    <row r="72" spans="1:14" x14ac:dyDescent="0.25">
      <c r="E72" s="24" t="s">
        <v>99</v>
      </c>
      <c r="F72" s="1">
        <f t="shared" si="9"/>
        <v>21</v>
      </c>
    </row>
    <row r="73" spans="1:14" x14ac:dyDescent="0.25">
      <c r="E73" s="24" t="s">
        <v>102</v>
      </c>
      <c r="F73" s="1">
        <f t="shared" si="9"/>
        <v>18</v>
      </c>
    </row>
    <row r="74" spans="1:14" x14ac:dyDescent="0.25">
      <c r="E74" s="24" t="s">
        <v>101</v>
      </c>
      <c r="F74" s="1">
        <f t="shared" si="9"/>
        <v>0</v>
      </c>
    </row>
    <row r="75" spans="1:14" x14ac:dyDescent="0.25">
      <c r="E75" s="24" t="s">
        <v>100</v>
      </c>
      <c r="F75" s="1">
        <f t="shared" si="9"/>
        <v>0</v>
      </c>
    </row>
    <row r="77" spans="1:14" s="41" customFormat="1" x14ac:dyDescent="0.25">
      <c r="A77" s="37" t="s">
        <v>157</v>
      </c>
      <c r="B77" s="37"/>
      <c r="C77" s="37"/>
      <c r="D77" s="37"/>
      <c r="E77" s="37" t="s">
        <v>158</v>
      </c>
      <c r="F77" s="37"/>
      <c r="G77" s="39"/>
      <c r="H77" s="40"/>
      <c r="J77" s="40"/>
      <c r="K77" s="39"/>
      <c r="L77" s="40"/>
      <c r="M77" s="40"/>
      <c r="N77" s="40"/>
    </row>
  </sheetData>
  <mergeCells count="15">
    <mergeCell ref="A1:F1"/>
    <mergeCell ref="A2:F2"/>
    <mergeCell ref="A3:F3"/>
    <mergeCell ref="A4:F4"/>
    <mergeCell ref="A5:F5"/>
    <mergeCell ref="A6:F6"/>
    <mergeCell ref="A7:F7"/>
    <mergeCell ref="A8:F8"/>
    <mergeCell ref="A9:F9"/>
    <mergeCell ref="C11:C12"/>
    <mergeCell ref="A11:A12"/>
    <mergeCell ref="B11:B12"/>
    <mergeCell ref="D11:D12"/>
    <mergeCell ref="E11:E12"/>
    <mergeCell ref="F11:F12"/>
  </mergeCells>
  <printOptions horizontalCentered="1"/>
  <pageMargins left="0.31496062992125984" right="0.31496062992125984" top="0.74803149606299213" bottom="0.35433070866141736" header="0.31496062992125984" footer="0.31496062992125984"/>
  <pageSetup paperSize="9" scale="90" fitToHeight="0" orientation="portrait" r:id="rId1"/>
  <rowBreaks count="1" manualBreakCount="1">
    <brk id="49" max="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topLeftCell="A10" zoomScaleNormal="100" workbookViewId="0">
      <selection activeCell="H15" sqref="H15"/>
    </sheetView>
  </sheetViews>
  <sheetFormatPr defaultRowHeight="15" x14ac:dyDescent="0.25"/>
  <cols>
    <col min="1" max="1" width="6.28515625" style="46" customWidth="1"/>
    <col min="2" max="2" width="6.7109375" style="46" customWidth="1"/>
    <col min="3" max="3" width="29.85546875" style="46" customWidth="1"/>
    <col min="4" max="4" width="26.28515625" style="46" customWidth="1"/>
    <col min="5" max="7" width="13" style="46" customWidth="1"/>
    <col min="8" max="16384" width="9.140625" style="46"/>
  </cols>
  <sheetData>
    <row r="1" spans="1:10" x14ac:dyDescent="0.25">
      <c r="A1" s="45" t="str">
        <f>Данные!B66</f>
        <v>Российская автомобильная федерация</v>
      </c>
      <c r="B1" s="45"/>
      <c r="C1" s="45"/>
      <c r="D1" s="45"/>
      <c r="E1" s="45"/>
      <c r="F1" s="45"/>
      <c r="G1" s="45"/>
    </row>
    <row r="2" spans="1:10" x14ac:dyDescent="0.25">
      <c r="A2" s="79" t="str">
        <f>Данные!B67</f>
        <v>ФАС Челябинской области</v>
      </c>
      <c r="B2" s="79"/>
      <c r="C2" s="79"/>
      <c r="D2" s="79"/>
      <c r="E2" s="79"/>
      <c r="F2" s="79"/>
      <c r="G2" s="79"/>
    </row>
    <row r="3" spans="1:10" x14ac:dyDescent="0.25">
      <c r="A3" s="79" t="str">
        <f>Данные!B68</f>
        <v xml:space="preserve">Команда  Red Off-road Expedition </v>
      </c>
      <c r="B3" s="79"/>
      <c r="C3" s="79"/>
      <c r="D3" s="79"/>
      <c r="E3" s="79"/>
      <c r="F3" s="79"/>
      <c r="G3" s="79"/>
    </row>
    <row r="4" spans="1:10" x14ac:dyDescent="0.25">
      <c r="A4" s="79" t="str">
        <f>Данные!B69</f>
        <v>ООО «Внедорожный центр 4х4»</v>
      </c>
      <c r="B4" s="79"/>
      <c r="C4" s="79"/>
      <c r="D4" s="79"/>
      <c r="E4" s="79"/>
      <c r="F4" s="79"/>
      <c r="G4" s="79"/>
    </row>
    <row r="5" spans="1:10" x14ac:dyDescent="0.25">
      <c r="A5" s="79" t="str">
        <f>Данные!B70</f>
        <v>Команда Pro-X</v>
      </c>
      <c r="B5" s="79"/>
      <c r="C5" s="79"/>
      <c r="D5" s="79"/>
      <c r="E5" s="79"/>
      <c r="F5" s="79"/>
      <c r="G5" s="79"/>
    </row>
    <row r="6" spans="1:10" x14ac:dyDescent="0.25">
      <c r="A6" s="79" t="str">
        <f>Данные!B71</f>
        <v>Этап кубка Урало-Сибирской зоны по трофи-рейдам</v>
      </c>
      <c r="B6" s="79"/>
      <c r="C6" s="79"/>
      <c r="D6" s="79"/>
      <c r="E6" s="79"/>
      <c r="F6" s="79"/>
      <c r="G6" s="79"/>
    </row>
    <row r="7" spans="1:10" x14ac:dyDescent="0.25">
      <c r="A7" s="80" t="str">
        <f>Данные!B72</f>
        <v>г.Челябинск</v>
      </c>
      <c r="B7" s="80"/>
      <c r="C7" s="80"/>
      <c r="D7" s="80"/>
      <c r="E7" s="80"/>
      <c r="F7" s="80"/>
      <c r="G7" s="80"/>
    </row>
    <row r="8" spans="1:10" x14ac:dyDescent="0.25">
      <c r="A8" s="80">
        <f>Данные!B73</f>
        <v>43358</v>
      </c>
      <c r="B8" s="80"/>
      <c r="C8" s="80"/>
      <c r="D8" s="80"/>
      <c r="E8" s="80"/>
      <c r="F8" s="80"/>
      <c r="G8" s="80"/>
    </row>
    <row r="9" spans="1:10" s="19" customFormat="1" x14ac:dyDescent="0.25">
      <c r="A9" s="81" t="s">
        <v>213</v>
      </c>
      <c r="B9" s="81"/>
      <c r="C9" s="81"/>
      <c r="D9" s="81"/>
      <c r="E9" s="81"/>
      <c r="F9" s="81"/>
      <c r="G9" s="81"/>
    </row>
    <row r="11" spans="1:10" s="3" customFormat="1" ht="12.75" customHeight="1" x14ac:dyDescent="0.25">
      <c r="A11" s="82" t="s">
        <v>115</v>
      </c>
      <c r="B11" s="82" t="s">
        <v>111</v>
      </c>
      <c r="C11" s="82" t="s">
        <v>1</v>
      </c>
      <c r="D11" s="82" t="s">
        <v>3</v>
      </c>
      <c r="E11" s="83" t="s">
        <v>4</v>
      </c>
      <c r="F11" s="83" t="s">
        <v>5</v>
      </c>
      <c r="G11" s="90" t="s">
        <v>155</v>
      </c>
    </row>
    <row r="12" spans="1:10" s="3" customFormat="1" ht="11.25" customHeight="1" x14ac:dyDescent="0.25">
      <c r="A12" s="82"/>
      <c r="B12" s="82"/>
      <c r="C12" s="82"/>
      <c r="D12" s="82"/>
      <c r="E12" s="83"/>
      <c r="F12" s="83"/>
      <c r="G12" s="91"/>
    </row>
    <row r="13" spans="1:10" s="55" customFormat="1" ht="15.75" x14ac:dyDescent="0.25">
      <c r="A13" s="87" t="s">
        <v>215</v>
      </c>
      <c r="B13" s="88"/>
      <c r="C13" s="88"/>
      <c r="D13" s="88"/>
      <c r="E13" s="88"/>
      <c r="F13" s="88"/>
      <c r="G13" s="89"/>
    </row>
    <row r="14" spans="1:10" s="6" customFormat="1" ht="30" x14ac:dyDescent="0.25">
      <c r="A14" s="26">
        <v>1</v>
      </c>
      <c r="B14" s="25">
        <v>318</v>
      </c>
      <c r="C14" s="11" t="str">
        <f>VLOOKUP($B14,TAB,2,FALSE)</f>
        <v>Осокин Михаил Сергеевич
Осокин Александр Сергеевич</v>
      </c>
      <c r="D14" s="11" t="str">
        <f t="shared" ref="D14:D36" si="0">VLOOKUP($B14,TAB,4,FALSE)</f>
        <v>п. Восточный
п. Восточный</v>
      </c>
      <c r="E14" s="11" t="str">
        <f t="shared" ref="E14:E36" si="1">VLOOKUP($B14,TAB,5,FALSE)</f>
        <v>УАЗ Пикап</v>
      </c>
      <c r="F14" s="11" t="str">
        <f t="shared" ref="F14:F36" si="2">VLOOKUP($B14,TAB,6,FALSE)</f>
        <v>Light</v>
      </c>
      <c r="G14" s="26">
        <f>VLOOKUP($B14,TAB,132,FALSE)</f>
        <v>140</v>
      </c>
      <c r="J14" s="24"/>
    </row>
    <row r="15" spans="1:10" s="6" customFormat="1" ht="60" x14ac:dyDescent="0.25">
      <c r="A15" s="26">
        <v>2</v>
      </c>
      <c r="B15" s="25">
        <v>315</v>
      </c>
      <c r="C15" s="11" t="str">
        <f t="shared" ref="C15:C36" si="3">VLOOKUP($B15,TAB,2,FALSE)</f>
        <v>Чуешов Дмитрий Александрович
Глебов Дмитрий Владимирович</v>
      </c>
      <c r="D15" s="11" t="str">
        <f t="shared" si="0"/>
        <v>Екатеринбург
Екатеринбург</v>
      </c>
      <c r="E15" s="11" t="str">
        <f t="shared" si="1"/>
        <v>УАЗ-469</v>
      </c>
      <c r="F15" s="11" t="str">
        <f t="shared" si="2"/>
        <v>Light</v>
      </c>
      <c r="G15" s="26">
        <f>VLOOKUP($B15,TAB,132,FALSE)</f>
        <v>675</v>
      </c>
      <c r="J15" s="24"/>
    </row>
    <row r="16" spans="1:10" s="6" customFormat="1" ht="60" x14ac:dyDescent="0.25">
      <c r="A16" s="26">
        <v>3</v>
      </c>
      <c r="B16" s="25">
        <v>317</v>
      </c>
      <c r="C16" s="11" t="str">
        <f t="shared" si="3"/>
        <v>Костромин Сергей Михайлович
Кольцов Виктор Александрович</v>
      </c>
      <c r="D16" s="11" t="str">
        <f t="shared" si="0"/>
        <v>В. Пышма
В. Пышма</v>
      </c>
      <c r="E16" s="11" t="str">
        <f t="shared" si="1"/>
        <v>УАЗ-31512</v>
      </c>
      <c r="F16" s="11" t="str">
        <f t="shared" si="2"/>
        <v>Light</v>
      </c>
      <c r="G16" s="26">
        <f>VLOOKUP($B16,TAB,132,FALSE)</f>
        <v>685</v>
      </c>
      <c r="J16" s="24"/>
    </row>
    <row r="17" spans="1:7" s="55" customFormat="1" ht="15.75" x14ac:dyDescent="0.25">
      <c r="A17" s="87" t="s">
        <v>217</v>
      </c>
      <c r="B17" s="88"/>
      <c r="C17" s="88"/>
      <c r="D17" s="88"/>
      <c r="E17" s="88"/>
      <c r="F17" s="88"/>
      <c r="G17" s="89"/>
    </row>
    <row r="18" spans="1:7" s="6" customFormat="1" ht="30" x14ac:dyDescent="0.25">
      <c r="A18" s="26">
        <v>1</v>
      </c>
      <c r="B18" s="25">
        <v>318</v>
      </c>
      <c r="C18" s="11" t="str">
        <f t="shared" si="3"/>
        <v>Осокин Михаил Сергеевич
Осокин Александр Сергеевич</v>
      </c>
      <c r="D18" s="11" t="str">
        <f t="shared" si="0"/>
        <v>п. Восточный
п. Восточный</v>
      </c>
      <c r="E18" s="11" t="str">
        <f t="shared" si="1"/>
        <v>УАЗ Пикап</v>
      </c>
      <c r="F18" s="11" t="str">
        <f t="shared" si="2"/>
        <v>Light</v>
      </c>
      <c r="G18" s="26">
        <f>VLOOKUP($B18,TAB,132,FALSE)</f>
        <v>140</v>
      </c>
    </row>
    <row r="19" spans="1:7" s="6" customFormat="1" ht="60" x14ac:dyDescent="0.25">
      <c r="A19" s="26">
        <v>2</v>
      </c>
      <c r="B19" s="25">
        <v>315</v>
      </c>
      <c r="C19" s="11" t="str">
        <f t="shared" si="3"/>
        <v>Чуешов Дмитрий Александрович
Глебов Дмитрий Владимирович</v>
      </c>
      <c r="D19" s="11" t="str">
        <f t="shared" si="0"/>
        <v>Екатеринбург
Екатеринбург</v>
      </c>
      <c r="E19" s="11" t="str">
        <f t="shared" si="1"/>
        <v>УАЗ-469</v>
      </c>
      <c r="F19" s="11" t="str">
        <f t="shared" si="2"/>
        <v>Light</v>
      </c>
      <c r="G19" s="26">
        <f>VLOOKUP($B19,TAB,132,FALSE)</f>
        <v>675</v>
      </c>
    </row>
    <row r="20" spans="1:7" s="6" customFormat="1" ht="60" x14ac:dyDescent="0.25">
      <c r="A20" s="26">
        <v>3</v>
      </c>
      <c r="B20" s="25">
        <v>317</v>
      </c>
      <c r="C20" s="11" t="str">
        <f t="shared" si="3"/>
        <v>Костромин Сергей Михайлович
Кольцов Виктор Александрович</v>
      </c>
      <c r="D20" s="11" t="str">
        <f t="shared" si="0"/>
        <v>В. Пышма
В. Пышма</v>
      </c>
      <c r="E20" s="11" t="str">
        <f t="shared" si="1"/>
        <v>УАЗ-31512</v>
      </c>
      <c r="F20" s="11" t="str">
        <f t="shared" si="2"/>
        <v>Light</v>
      </c>
      <c r="G20" s="26">
        <f>VLOOKUP($B20,TAB,132,FALSE)</f>
        <v>685</v>
      </c>
    </row>
    <row r="21" spans="1:7" s="55" customFormat="1" ht="15.75" x14ac:dyDescent="0.25">
      <c r="A21" s="87" t="s">
        <v>216</v>
      </c>
      <c r="B21" s="88"/>
      <c r="C21" s="88"/>
      <c r="D21" s="88"/>
      <c r="E21" s="88"/>
      <c r="F21" s="88"/>
      <c r="G21" s="89"/>
    </row>
    <row r="22" spans="1:7" s="6" customFormat="1" ht="45" x14ac:dyDescent="0.25">
      <c r="A22" s="26">
        <v>1</v>
      </c>
      <c r="B22" s="25">
        <v>203</v>
      </c>
      <c r="C22" s="11" t="str">
        <f>VLOOKUP($B22,TAB,2,FALSE)</f>
        <v>Павелин Евгений Модестович
Давыдов Сергей Владимирович</v>
      </c>
      <c r="D22" s="11" t="str">
        <f>VLOOKUP($B22,TAB,4,FALSE)</f>
        <v>Екатеринбург
Екатеринбург</v>
      </c>
      <c r="E22" s="11" t="str">
        <f>VLOOKUP($B22,TAB,5,FALSE)</f>
        <v>TLC 70</v>
      </c>
      <c r="F22" s="11" t="str">
        <f>VLOOKUP($B22,TAB,6,FALSE)</f>
        <v>Medium</v>
      </c>
      <c r="G22" s="26">
        <f>VLOOKUP($B22,TAB,132,FALSE)</f>
        <v>346</v>
      </c>
    </row>
    <row r="23" spans="1:7" s="6" customFormat="1" ht="30" x14ac:dyDescent="0.25">
      <c r="A23" s="26">
        <v>2</v>
      </c>
      <c r="B23" s="25">
        <v>202</v>
      </c>
      <c r="C23" s="11" t="str">
        <f>VLOOKUP($B23,TAB,2,FALSE)</f>
        <v>Клейн Александр Алексеевич
Манион Сергей Игоревич</v>
      </c>
      <c r="D23" s="11" t="str">
        <f>VLOOKUP($B23,TAB,4,FALSE)</f>
        <v>Екатеринбург
Екатеринбург</v>
      </c>
      <c r="E23" s="11" t="str">
        <f>VLOOKUP($B23,TAB,5,FALSE)</f>
        <v>TLC 70</v>
      </c>
      <c r="F23" s="11" t="str">
        <f>VLOOKUP($B23,TAB,6,FALSE)</f>
        <v>Medium</v>
      </c>
      <c r="G23" s="26">
        <f>VLOOKUP($B23,TAB,132,FALSE)</f>
        <v>1552</v>
      </c>
    </row>
    <row r="24" spans="1:7" s="6" customFormat="1" ht="18.75" x14ac:dyDescent="0.25">
      <c r="A24" s="26">
        <v>3</v>
      </c>
      <c r="B24" s="25">
        <v>215</v>
      </c>
      <c r="C24" s="11" t="e">
        <f>VLOOKUP($B24,TAB,2,FALSE)</f>
        <v>#N/A</v>
      </c>
      <c r="D24" s="11" t="e">
        <f>VLOOKUP($B24,TAB,4,FALSE)</f>
        <v>#N/A</v>
      </c>
      <c r="E24" s="11" t="e">
        <f>VLOOKUP($B24,TAB,5,FALSE)</f>
        <v>#N/A</v>
      </c>
      <c r="F24" s="11" t="e">
        <f>VLOOKUP($B24,TAB,6,FALSE)</f>
        <v>#N/A</v>
      </c>
      <c r="G24" s="26" t="e">
        <f>VLOOKUP($B24,TAB,132,FALSE)</f>
        <v>#N/A</v>
      </c>
    </row>
    <row r="25" spans="1:7" s="3" customFormat="1" ht="18.75" x14ac:dyDescent="0.25">
      <c r="A25" s="84" t="s">
        <v>218</v>
      </c>
      <c r="B25" s="85"/>
      <c r="C25" s="85"/>
      <c r="D25" s="85"/>
      <c r="E25" s="85"/>
      <c r="F25" s="85"/>
      <c r="G25" s="86"/>
    </row>
    <row r="26" spans="1:7" s="6" customFormat="1" ht="45" x14ac:dyDescent="0.25">
      <c r="A26" s="26">
        <v>1</v>
      </c>
      <c r="B26" s="25">
        <v>203</v>
      </c>
      <c r="C26" s="11" t="str">
        <f t="shared" si="3"/>
        <v>Павелин Евгений Модестович
Давыдов Сергей Владимирович</v>
      </c>
      <c r="D26" s="11" t="str">
        <f t="shared" si="0"/>
        <v>Екатеринбург
Екатеринбург</v>
      </c>
      <c r="E26" s="11" t="str">
        <f t="shared" si="1"/>
        <v>TLC 70</v>
      </c>
      <c r="F26" s="11" t="str">
        <f t="shared" si="2"/>
        <v>Medium</v>
      </c>
      <c r="G26" s="26">
        <f>VLOOKUP($B26,TAB,132,FALSE)</f>
        <v>346</v>
      </c>
    </row>
    <row r="27" spans="1:7" s="6" customFormat="1" ht="30" x14ac:dyDescent="0.25">
      <c r="A27" s="26">
        <v>2</v>
      </c>
      <c r="B27" s="25">
        <v>202</v>
      </c>
      <c r="C27" s="11" t="str">
        <f t="shared" si="3"/>
        <v>Клейн Александр Алексеевич
Манион Сергей Игоревич</v>
      </c>
      <c r="D27" s="11" t="str">
        <f t="shared" si="0"/>
        <v>Екатеринбург
Екатеринбург</v>
      </c>
      <c r="E27" s="11" t="str">
        <f t="shared" si="1"/>
        <v>TLC 70</v>
      </c>
      <c r="F27" s="11" t="str">
        <f t="shared" si="2"/>
        <v>Medium</v>
      </c>
      <c r="G27" s="26">
        <f>VLOOKUP($B27,TAB,132,FALSE)</f>
        <v>1552</v>
      </c>
    </row>
    <row r="28" spans="1:7" s="6" customFormat="1" ht="18.75" x14ac:dyDescent="0.25">
      <c r="A28" s="26">
        <v>3</v>
      </c>
      <c r="B28" s="25">
        <v>215</v>
      </c>
      <c r="C28" s="11" t="e">
        <f t="shared" si="3"/>
        <v>#N/A</v>
      </c>
      <c r="D28" s="11" t="e">
        <f t="shared" si="0"/>
        <v>#N/A</v>
      </c>
      <c r="E28" s="11" t="e">
        <f t="shared" si="1"/>
        <v>#N/A</v>
      </c>
      <c r="F28" s="11" t="e">
        <f t="shared" si="2"/>
        <v>#N/A</v>
      </c>
      <c r="G28" s="26" t="e">
        <f>VLOOKUP($B28,TAB,132,FALSE)</f>
        <v>#N/A</v>
      </c>
    </row>
    <row r="29" spans="1:7" s="55" customFormat="1" ht="15.75" x14ac:dyDescent="0.25">
      <c r="A29" s="87" t="s">
        <v>214</v>
      </c>
      <c r="B29" s="88"/>
      <c r="C29" s="88"/>
      <c r="D29" s="88"/>
      <c r="E29" s="88"/>
      <c r="F29" s="88"/>
      <c r="G29" s="89"/>
    </row>
    <row r="30" spans="1:7" s="6" customFormat="1" ht="60" x14ac:dyDescent="0.25">
      <c r="A30" s="26">
        <v>1</v>
      </c>
      <c r="B30" s="25">
        <v>101</v>
      </c>
      <c r="C30" s="11" t="str">
        <f t="shared" si="3"/>
        <v>Малиновский Артем Александрович
Малиновский Антон Александрович</v>
      </c>
      <c r="D30" s="11" t="str">
        <f t="shared" si="0"/>
        <v>Н. Тагил
Н. Тагил</v>
      </c>
      <c r="E30" s="11" t="str">
        <f t="shared" si="1"/>
        <v>Прото</v>
      </c>
      <c r="F30" s="11" t="str">
        <f t="shared" si="2"/>
        <v>Hard</v>
      </c>
      <c r="G30" s="26">
        <f>VLOOKUP($B30,TAB,132,FALSE)</f>
        <v>1309</v>
      </c>
    </row>
    <row r="31" spans="1:7" s="6" customFormat="1" ht="18.75" x14ac:dyDescent="0.25">
      <c r="A31" s="26">
        <v>2</v>
      </c>
      <c r="B31" s="25">
        <v>109</v>
      </c>
      <c r="C31" s="11" t="e">
        <f t="shared" si="3"/>
        <v>#N/A</v>
      </c>
      <c r="D31" s="11" t="e">
        <f t="shared" si="0"/>
        <v>#N/A</v>
      </c>
      <c r="E31" s="11" t="e">
        <f t="shared" si="1"/>
        <v>#N/A</v>
      </c>
      <c r="F31" s="11" t="e">
        <f t="shared" si="2"/>
        <v>#N/A</v>
      </c>
      <c r="G31" s="26" t="e">
        <f>VLOOKUP($B31,TAB,132,FALSE)</f>
        <v>#N/A</v>
      </c>
    </row>
    <row r="32" spans="1:7" s="6" customFormat="1" ht="30" x14ac:dyDescent="0.25">
      <c r="A32" s="26">
        <v>3</v>
      </c>
      <c r="B32" s="25">
        <v>102</v>
      </c>
      <c r="C32" s="11" t="str">
        <f t="shared" si="3"/>
        <v>Иванов Артем Альбертович
Иванов Роман Альбертович</v>
      </c>
      <c r="D32" s="11" t="str">
        <f t="shared" si="0"/>
        <v>Кушва
Кушва</v>
      </c>
      <c r="E32" s="11" t="str">
        <f t="shared" si="1"/>
        <v>Прото</v>
      </c>
      <c r="F32" s="11" t="str">
        <f t="shared" si="2"/>
        <v>Hard</v>
      </c>
      <c r="G32" s="26">
        <f>VLOOKUP($B32,TAB,132,FALSE)</f>
        <v>666</v>
      </c>
    </row>
    <row r="33" spans="1:7" s="55" customFormat="1" ht="15.75" x14ac:dyDescent="0.25">
      <c r="A33" s="87" t="s">
        <v>219</v>
      </c>
      <c r="B33" s="88"/>
      <c r="C33" s="88"/>
      <c r="D33" s="88"/>
      <c r="E33" s="88"/>
      <c r="F33" s="88"/>
      <c r="G33" s="89"/>
    </row>
    <row r="34" spans="1:7" s="6" customFormat="1" ht="45" x14ac:dyDescent="0.25">
      <c r="A34" s="26">
        <v>1</v>
      </c>
      <c r="B34" s="25">
        <v>203</v>
      </c>
      <c r="C34" s="11" t="str">
        <f t="shared" si="3"/>
        <v>Павелин Евгений Модестович
Давыдов Сергей Владимирович</v>
      </c>
      <c r="D34" s="11" t="str">
        <f t="shared" si="0"/>
        <v>Екатеринбург
Екатеринбург</v>
      </c>
      <c r="E34" s="11" t="str">
        <f t="shared" si="1"/>
        <v>TLC 70</v>
      </c>
      <c r="F34" s="11" t="str">
        <f t="shared" si="2"/>
        <v>Medium</v>
      </c>
      <c r="G34" s="26">
        <f>VLOOKUP($B34,TAB,132,FALSE)</f>
        <v>346</v>
      </c>
    </row>
    <row r="35" spans="1:7" s="6" customFormat="1" ht="18.75" x14ac:dyDescent="0.25">
      <c r="A35" s="26">
        <v>2</v>
      </c>
      <c r="B35" s="25">
        <v>5</v>
      </c>
      <c r="C35" s="11" t="e">
        <f t="shared" si="3"/>
        <v>#N/A</v>
      </c>
      <c r="D35" s="11" t="e">
        <f t="shared" si="0"/>
        <v>#N/A</v>
      </c>
      <c r="E35" s="11" t="e">
        <f t="shared" si="1"/>
        <v>#N/A</v>
      </c>
      <c r="F35" s="11" t="e">
        <f t="shared" si="2"/>
        <v>#N/A</v>
      </c>
      <c r="G35" s="26" t="e">
        <f>VLOOKUP($B35,TAB,132,FALSE)</f>
        <v>#N/A</v>
      </c>
    </row>
    <row r="36" spans="1:7" s="6" customFormat="1" ht="18.75" x14ac:dyDescent="0.25">
      <c r="A36" s="26">
        <v>3</v>
      </c>
      <c r="B36" s="25">
        <v>3</v>
      </c>
      <c r="C36" s="11" t="e">
        <f t="shared" si="3"/>
        <v>#N/A</v>
      </c>
      <c r="D36" s="11" t="e">
        <f t="shared" si="0"/>
        <v>#N/A</v>
      </c>
      <c r="E36" s="11" t="e">
        <f t="shared" si="1"/>
        <v>#N/A</v>
      </c>
      <c r="F36" s="11" t="e">
        <f t="shared" si="2"/>
        <v>#N/A</v>
      </c>
      <c r="G36" s="26" t="e">
        <f>VLOOKUP($B36,TAB,132,FALSE)</f>
        <v>#N/A</v>
      </c>
    </row>
  </sheetData>
  <mergeCells count="21">
    <mergeCell ref="A25:G25"/>
    <mergeCell ref="A29:G29"/>
    <mergeCell ref="A33:G33"/>
    <mergeCell ref="A2:G2"/>
    <mergeCell ref="A3:G3"/>
    <mergeCell ref="A4:G4"/>
    <mergeCell ref="A5:G5"/>
    <mergeCell ref="A6:G6"/>
    <mergeCell ref="A7:G7"/>
    <mergeCell ref="A8:G8"/>
    <mergeCell ref="G11:G12"/>
    <mergeCell ref="A13:G13"/>
    <mergeCell ref="A21:G21"/>
    <mergeCell ref="A17:G17"/>
    <mergeCell ref="A9:G9"/>
    <mergeCell ref="F11:F12"/>
    <mergeCell ref="A11:A12"/>
    <mergeCell ref="B11:B12"/>
    <mergeCell ref="C11:C12"/>
    <mergeCell ref="D11:D12"/>
    <mergeCell ref="E11:E12"/>
  </mergeCells>
  <printOptions horizontalCentered="1"/>
  <pageMargins left="0.31496062992125984" right="0.31496062992125984" top="0.74803149606299213" bottom="0.35433070866141736" header="0.31496062992125984" footer="0.31496062992125984"/>
  <pageSetup paperSize="9" scale="8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"/>
  <sheetViews>
    <sheetView topLeftCell="A45" zoomScaleNormal="100" workbookViewId="0">
      <selection activeCell="J48" sqref="J48"/>
    </sheetView>
  </sheetViews>
  <sheetFormatPr defaultRowHeight="15" x14ac:dyDescent="0.25"/>
  <cols>
    <col min="1" max="1" width="7.5703125" style="20" customWidth="1"/>
    <col min="2" max="2" width="5.5703125" style="20" customWidth="1"/>
    <col min="3" max="3" width="22.42578125" style="20" bestFit="1" customWidth="1"/>
    <col min="4" max="4" width="19.28515625" style="20" bestFit="1" customWidth="1"/>
    <col min="5" max="5" width="10.28515625" style="20" customWidth="1"/>
    <col min="6" max="6" width="8.42578125" style="20" bestFit="1" customWidth="1"/>
    <col min="7" max="7" width="7.85546875" style="1" customWidth="1"/>
    <col min="8" max="8" width="9.140625" style="20" customWidth="1"/>
    <col min="9" max="9" width="7.5703125" style="20" customWidth="1"/>
    <col min="10" max="10" width="8.7109375" style="20" customWidth="1"/>
    <col min="11" max="16384" width="9.140625" style="20"/>
  </cols>
  <sheetData>
    <row r="1" spans="1:10" x14ac:dyDescent="0.25">
      <c r="A1" s="79" t="str">
        <f>Данные!B66</f>
        <v>Российская автомобильная федерация</v>
      </c>
      <c r="B1" s="79"/>
      <c r="C1" s="79"/>
      <c r="D1" s="79"/>
      <c r="E1" s="79"/>
      <c r="F1" s="79"/>
      <c r="G1" s="79"/>
      <c r="H1" s="79"/>
      <c r="I1" s="79"/>
      <c r="J1" s="79"/>
    </row>
    <row r="2" spans="1:10" x14ac:dyDescent="0.25">
      <c r="A2" s="79" t="str">
        <f>Данные!B67</f>
        <v>ФАС Челябинской области</v>
      </c>
      <c r="B2" s="79"/>
      <c r="C2" s="79"/>
      <c r="D2" s="79"/>
      <c r="E2" s="79"/>
      <c r="F2" s="79"/>
      <c r="G2" s="79"/>
      <c r="H2" s="79"/>
      <c r="I2" s="79"/>
      <c r="J2" s="79"/>
    </row>
    <row r="3" spans="1:10" x14ac:dyDescent="0.25">
      <c r="A3" s="79" t="str">
        <f>Данные!B68</f>
        <v xml:space="preserve">Команда  Red Off-road Expedition </v>
      </c>
      <c r="B3" s="79"/>
      <c r="C3" s="79"/>
      <c r="D3" s="79"/>
      <c r="E3" s="79"/>
      <c r="F3" s="79"/>
      <c r="G3" s="79"/>
      <c r="H3" s="79"/>
      <c r="I3" s="79"/>
      <c r="J3" s="79"/>
    </row>
    <row r="4" spans="1:10" x14ac:dyDescent="0.25">
      <c r="A4" s="79" t="str">
        <f>Данные!B69</f>
        <v>ООО «Внедорожный центр 4х4»</v>
      </c>
      <c r="B4" s="79"/>
      <c r="C4" s="79"/>
      <c r="D4" s="79"/>
      <c r="E4" s="79"/>
      <c r="F4" s="79"/>
      <c r="G4" s="79"/>
      <c r="H4" s="79"/>
      <c r="I4" s="79"/>
      <c r="J4" s="79"/>
    </row>
    <row r="5" spans="1:10" x14ac:dyDescent="0.25">
      <c r="A5" s="79" t="str">
        <f>Данные!B70</f>
        <v>Команда Pro-X</v>
      </c>
      <c r="B5" s="79"/>
      <c r="C5" s="79"/>
      <c r="D5" s="79"/>
      <c r="E5" s="79"/>
      <c r="F5" s="79"/>
      <c r="G5" s="79"/>
      <c r="H5" s="79"/>
      <c r="I5" s="79"/>
      <c r="J5" s="79"/>
    </row>
    <row r="6" spans="1:10" x14ac:dyDescent="0.25">
      <c r="A6" s="79" t="str">
        <f>Данные!B71</f>
        <v>Этап кубка Урало-Сибирской зоны по трофи-рейдам</v>
      </c>
      <c r="B6" s="79"/>
      <c r="C6" s="79"/>
      <c r="D6" s="79"/>
      <c r="E6" s="79"/>
      <c r="F6" s="79"/>
      <c r="G6" s="79"/>
      <c r="H6" s="79"/>
      <c r="I6" s="79"/>
      <c r="J6" s="79"/>
    </row>
    <row r="7" spans="1:10" x14ac:dyDescent="0.25">
      <c r="A7" s="80" t="str">
        <f>Данные!B72</f>
        <v>г.Челябинск</v>
      </c>
      <c r="B7" s="80"/>
      <c r="C7" s="80"/>
      <c r="D7" s="80"/>
      <c r="E7" s="80"/>
      <c r="F7" s="80"/>
      <c r="G7" s="80"/>
      <c r="H7" s="80"/>
      <c r="I7" s="80"/>
      <c r="J7" s="80"/>
    </row>
    <row r="8" spans="1:10" x14ac:dyDescent="0.25">
      <c r="A8" s="80">
        <f>Данные!B73</f>
        <v>43358</v>
      </c>
      <c r="B8" s="80"/>
      <c r="C8" s="80"/>
      <c r="D8" s="80"/>
      <c r="E8" s="80"/>
      <c r="F8" s="80"/>
      <c r="G8" s="80"/>
      <c r="H8" s="80"/>
      <c r="I8" s="80"/>
      <c r="J8" s="80"/>
    </row>
    <row r="9" spans="1:10" s="19" customFormat="1" x14ac:dyDescent="0.25">
      <c r="A9" s="81" t="s">
        <v>203</v>
      </c>
      <c r="B9" s="81"/>
      <c r="C9" s="81"/>
      <c r="D9" s="81"/>
      <c r="E9" s="81"/>
      <c r="F9" s="81"/>
      <c r="G9" s="81"/>
      <c r="H9" s="81"/>
      <c r="I9" s="81"/>
      <c r="J9" s="81"/>
    </row>
    <row r="10" spans="1:10" x14ac:dyDescent="0.25">
      <c r="A10" s="20" t="str">
        <f>Данные!B61</f>
        <v>ОФИЦИАЛЬНО</v>
      </c>
      <c r="J10" s="54">
        <f>Данные!C61</f>
        <v>0.91666666666666663</v>
      </c>
    </row>
    <row r="11" spans="1:10" s="3" customFormat="1" ht="12.75" x14ac:dyDescent="0.25">
      <c r="A11" s="82" t="s">
        <v>154</v>
      </c>
      <c r="B11" s="82" t="s">
        <v>111</v>
      </c>
      <c r="C11" s="82" t="s">
        <v>1</v>
      </c>
      <c r="D11" s="82" t="s">
        <v>3</v>
      </c>
      <c r="E11" s="83" t="s">
        <v>4</v>
      </c>
      <c r="F11" s="83" t="s">
        <v>5</v>
      </c>
      <c r="G11" s="82" t="s">
        <v>204</v>
      </c>
      <c r="H11" s="92" t="s">
        <v>155</v>
      </c>
      <c r="I11" s="94" t="s">
        <v>156</v>
      </c>
      <c r="J11" s="82"/>
    </row>
    <row r="12" spans="1:10" s="3" customFormat="1" ht="33.75" x14ac:dyDescent="0.25">
      <c r="A12" s="82"/>
      <c r="B12" s="82"/>
      <c r="C12" s="82"/>
      <c r="D12" s="82"/>
      <c r="E12" s="83"/>
      <c r="F12" s="83"/>
      <c r="G12" s="83"/>
      <c r="H12" s="93"/>
      <c r="I12" s="28" t="s">
        <v>161</v>
      </c>
      <c r="J12" s="28" t="s">
        <v>160</v>
      </c>
    </row>
    <row r="13" spans="1:10" s="6" customFormat="1" ht="60" x14ac:dyDescent="0.25">
      <c r="A13" s="26">
        <f>VLOOKUP($B13,TAB,134,FALSE)</f>
        <v>1</v>
      </c>
      <c r="B13" s="25">
        <v>204</v>
      </c>
      <c r="C13" s="11" t="str">
        <f>VLOOKUP($B13,TAB,2,FALSE)</f>
        <v>Пелевин Евгений Сергеевич
Прочуханов Игорь Игоревич</v>
      </c>
      <c r="D13" s="11" t="str">
        <f>VLOOKUP($B13,TAB,4,FALSE)</f>
        <v>Полевской
Ревда</v>
      </c>
      <c r="E13" s="11" t="str">
        <f>VLOOKUP($B13,TAB,5,FALSE)</f>
        <v>Нива 21213</v>
      </c>
      <c r="F13" s="11" t="str">
        <f>VLOOKUP($B13,TAB,6,FALSE)</f>
        <v>Medium</v>
      </c>
      <c r="G13" s="17">
        <f>VLOOKUP($B13,TAB,133,FALSE)</f>
        <v>1</v>
      </c>
      <c r="H13" s="26">
        <f>VLOOKUP($B13,TAB,132,FALSE)</f>
        <v>1619</v>
      </c>
      <c r="I13" s="27" t="str">
        <f>IF(H13="СХОД","СХОД",IF(A13=1,"**",#REF!-H13))</f>
        <v>**</v>
      </c>
      <c r="J13" s="27" t="str">
        <f>IF(H13="СХОД","СХОД",IF(A13=1,"**",H12-H13))</f>
        <v>**</v>
      </c>
    </row>
    <row r="14" spans="1:10" s="6" customFormat="1" ht="60" x14ac:dyDescent="0.25">
      <c r="A14" s="26">
        <f>VLOOKUP($B14,TAB,134,FALSE)</f>
        <v>3</v>
      </c>
      <c r="B14" s="25">
        <v>206</v>
      </c>
      <c r="C14" s="11" t="str">
        <f>VLOOKUP($B14,TAB,2,FALSE)</f>
        <v>Бачурин Антон Александрович
Лашков Антон Борисович</v>
      </c>
      <c r="D14" s="11" t="str">
        <f>VLOOKUP($B14,TAB,4,FALSE)</f>
        <v>Камышлов
Камышлов</v>
      </c>
      <c r="E14" s="11" t="str">
        <f>VLOOKUP($B14,TAB,5,FALSE)</f>
        <v>ГАЗ-69</v>
      </c>
      <c r="F14" s="11" t="str">
        <f>VLOOKUP($B14,TAB,6,FALSE)</f>
        <v>Medium</v>
      </c>
      <c r="G14" s="17">
        <f>VLOOKUP($B14,TAB,133,FALSE)</f>
        <v>3</v>
      </c>
      <c r="H14" s="26">
        <f>VLOOKUP($B14,TAB,132,FALSE)</f>
        <v>1479</v>
      </c>
      <c r="I14" s="27">
        <f>IF(H14="СХОД","СХОД",IF(A14=1,"**",$H$13-H14))</f>
        <v>140</v>
      </c>
      <c r="J14" s="27">
        <f>IF(H14="СХОД","СХОД",IF(A14=1,"**",H13-H14))</f>
        <v>140</v>
      </c>
    </row>
    <row r="15" spans="1:10" s="6" customFormat="1" ht="60" x14ac:dyDescent="0.25">
      <c r="A15" s="26">
        <f>VLOOKUP($B15,TAB,134,FALSE)</f>
        <v>2</v>
      </c>
      <c r="B15" s="25">
        <v>202</v>
      </c>
      <c r="C15" s="11" t="str">
        <f>VLOOKUP($B15,TAB,2,FALSE)</f>
        <v>Клейн Александр Алексеевич
Манион Сергей Игоревич</v>
      </c>
      <c r="D15" s="11" t="str">
        <f>VLOOKUP($B15,TAB,4,FALSE)</f>
        <v>Екатеринбург
Екатеринбург</v>
      </c>
      <c r="E15" s="11" t="str">
        <f>VLOOKUP($B15,TAB,5,FALSE)</f>
        <v>TLC 70</v>
      </c>
      <c r="F15" s="11" t="str">
        <f>VLOOKUP($B15,TAB,6,FALSE)</f>
        <v>Medium</v>
      </c>
      <c r="G15" s="17">
        <f>VLOOKUP($B15,TAB,133,FALSE)</f>
        <v>2</v>
      </c>
      <c r="H15" s="26">
        <f>VLOOKUP($B15,TAB,132,FALSE)</f>
        <v>1552</v>
      </c>
      <c r="I15" s="27">
        <f t="shared" ref="I15:I49" si="0">IF(H15="СХОД","СХОД",IF(A15=1,"**",$H$13-H15))</f>
        <v>67</v>
      </c>
      <c r="J15" s="27">
        <f t="shared" ref="J15:J49" si="1">IF(H15="СХОД","СХОД",IF(A15=1,"**",H14-H15))</f>
        <v>-73</v>
      </c>
    </row>
    <row r="16" spans="1:10" s="6" customFormat="1" ht="60" x14ac:dyDescent="0.25">
      <c r="A16" s="26">
        <f>VLOOKUP($B16,TAB,134,FALSE)</f>
        <v>4</v>
      </c>
      <c r="B16" s="25">
        <v>303</v>
      </c>
      <c r="C16" s="11" t="str">
        <f>VLOOKUP($B16,TAB,2,FALSE)</f>
        <v>Яснов Александр Павлович
Клюсов Евгений Петрович</v>
      </c>
      <c r="D16" s="11" t="str">
        <f>VLOOKUP($B16,TAB,4,FALSE)</f>
        <v>Тюмень
Тюмень</v>
      </c>
      <c r="E16" s="11" t="str">
        <f>VLOOKUP($B16,TAB,5,FALSE)</f>
        <v>Suzuki Jimny</v>
      </c>
      <c r="F16" s="11" t="str">
        <f>VLOOKUP($B16,TAB,6,FALSE)</f>
        <v>Light</v>
      </c>
      <c r="G16" s="17">
        <f>VLOOKUP($B16,TAB,133,FALSE)</f>
        <v>1</v>
      </c>
      <c r="H16" s="26">
        <f>VLOOKUP($B16,TAB,132,FALSE)</f>
        <v>1362</v>
      </c>
      <c r="I16" s="27">
        <f t="shared" si="0"/>
        <v>257</v>
      </c>
      <c r="J16" s="27">
        <f t="shared" si="1"/>
        <v>190</v>
      </c>
    </row>
    <row r="17" spans="1:10" s="6" customFormat="1" ht="60" x14ac:dyDescent="0.25">
      <c r="A17" s="26">
        <f>VLOOKUP($B17,TAB,134,FALSE)</f>
        <v>6</v>
      </c>
      <c r="B17" s="25">
        <v>308</v>
      </c>
      <c r="C17" s="11" t="str">
        <f>VLOOKUP($B17,TAB,2,FALSE)</f>
        <v>Нигматуллин Ильшат Ришатович
Чуманов Сергей Владимирович</v>
      </c>
      <c r="D17" s="11" t="str">
        <f>VLOOKUP($B17,TAB,4,FALSE)</f>
        <v>Уфа
Уфа</v>
      </c>
      <c r="E17" s="11" t="str">
        <f>VLOOKUP($B17,TAB,5,FALSE)</f>
        <v>ВАЗ 21214</v>
      </c>
      <c r="F17" s="11" t="str">
        <f>VLOOKUP($B17,TAB,6,FALSE)</f>
        <v>Light</v>
      </c>
      <c r="G17" s="17">
        <f>VLOOKUP($B17,TAB,133,FALSE)</f>
        <v>2</v>
      </c>
      <c r="H17" s="26">
        <f>VLOOKUP($B17,TAB,132,FALSE)</f>
        <v>1305</v>
      </c>
      <c r="I17" s="27">
        <f t="shared" si="0"/>
        <v>314</v>
      </c>
      <c r="J17" s="27">
        <f t="shared" si="1"/>
        <v>57</v>
      </c>
    </row>
    <row r="18" spans="1:10" s="6" customFormat="1" ht="60" x14ac:dyDescent="0.25">
      <c r="A18" s="26">
        <f>VLOOKUP($B18,TAB,134,FALSE)</f>
        <v>7</v>
      </c>
      <c r="B18" s="25">
        <v>107</v>
      </c>
      <c r="C18" s="11" t="str">
        <f>VLOOKUP($B18,TAB,2,FALSE)</f>
        <v>Демидов Максим Владимирович
Назаров Сергей Александрович</v>
      </c>
      <c r="D18" s="11" t="str">
        <f>VLOOKUP($B18,TAB,4,FALSE)</f>
        <v>Челябинск
Челябинск</v>
      </c>
      <c r="E18" s="11" t="str">
        <f>VLOOKUP($B18,TAB,5,FALSE)</f>
        <v>Прото</v>
      </c>
      <c r="F18" s="11" t="str">
        <f>VLOOKUP($B18,TAB,6,FALSE)</f>
        <v>Hard</v>
      </c>
      <c r="G18" s="17">
        <f>VLOOKUP($B18,TAB,133,FALSE)</f>
        <v>2</v>
      </c>
      <c r="H18" s="26">
        <f>VLOOKUP($B18,TAB,132,FALSE)</f>
        <v>1300</v>
      </c>
      <c r="I18" s="27">
        <f t="shared" si="0"/>
        <v>319</v>
      </c>
      <c r="J18" s="27">
        <f t="shared" si="1"/>
        <v>5</v>
      </c>
    </row>
    <row r="19" spans="1:10" s="6" customFormat="1" ht="60" x14ac:dyDescent="0.25">
      <c r="A19" s="26">
        <f>VLOOKUP($B19,TAB,134,FALSE)</f>
        <v>5</v>
      </c>
      <c r="B19" s="25">
        <v>101</v>
      </c>
      <c r="C19" s="11" t="str">
        <f>VLOOKUP($B19,TAB,2,FALSE)</f>
        <v>Малиновский Артем Александрович
Малиновский Антон Александрович</v>
      </c>
      <c r="D19" s="11" t="str">
        <f>VLOOKUP($B19,TAB,4,FALSE)</f>
        <v>Н. Тагил
Н. Тагил</v>
      </c>
      <c r="E19" s="11" t="str">
        <f>VLOOKUP($B19,TAB,5,FALSE)</f>
        <v>Прото</v>
      </c>
      <c r="F19" s="11" t="str">
        <f>VLOOKUP($B19,TAB,6,FALSE)</f>
        <v>Hard</v>
      </c>
      <c r="G19" s="17">
        <f>VLOOKUP($B19,TAB,133,FALSE)</f>
        <v>1</v>
      </c>
      <c r="H19" s="26">
        <f>VLOOKUP($B19,TAB,132,FALSE)</f>
        <v>1309</v>
      </c>
      <c r="I19" s="27">
        <f t="shared" si="0"/>
        <v>310</v>
      </c>
      <c r="J19" s="27">
        <f t="shared" si="1"/>
        <v>-9</v>
      </c>
    </row>
    <row r="20" spans="1:10" s="6" customFormat="1" ht="60" x14ac:dyDescent="0.25">
      <c r="A20" s="26">
        <f>VLOOKUP($B20,TAB,134,FALSE)</f>
        <v>8</v>
      </c>
      <c r="B20" s="25">
        <v>306</v>
      </c>
      <c r="C20" s="11" t="str">
        <f>VLOOKUP($B20,TAB,2,FALSE)</f>
        <v>Маньков Игорь Анатольевич
Охотников Максим Дмитриевич</v>
      </c>
      <c r="D20" s="11" t="str">
        <f>VLOOKUP($B20,TAB,4,FALSE)</f>
        <v>Екатеринбург
Снежинск</v>
      </c>
      <c r="E20" s="11" t="str">
        <f>VLOOKUP($B20,TAB,5,FALSE)</f>
        <v>TLC 70</v>
      </c>
      <c r="F20" s="11" t="str">
        <f>VLOOKUP($B20,TAB,6,FALSE)</f>
        <v>Light</v>
      </c>
      <c r="G20" s="17">
        <f>VLOOKUP($B20,TAB,133,FALSE)</f>
        <v>3</v>
      </c>
      <c r="H20" s="26">
        <f>VLOOKUP($B20,TAB,132,FALSE)</f>
        <v>1210</v>
      </c>
      <c r="I20" s="27">
        <f t="shared" si="0"/>
        <v>409</v>
      </c>
      <c r="J20" s="27">
        <f t="shared" si="1"/>
        <v>99</v>
      </c>
    </row>
    <row r="21" spans="1:10" s="6" customFormat="1" ht="60" x14ac:dyDescent="0.25">
      <c r="A21" s="26">
        <f>VLOOKUP($B21,TAB,134,FALSE)</f>
        <v>9</v>
      </c>
      <c r="B21" s="25">
        <v>319</v>
      </c>
      <c r="C21" s="11" t="str">
        <f>VLOOKUP($B21,TAB,2,FALSE)</f>
        <v>Тимофеев Александр Николаевич
Белкин Александр Сергеевич</v>
      </c>
      <c r="D21" s="11" t="str">
        <f>VLOOKUP($B21,TAB,4,FALSE)</f>
        <v>Пермь
Пермь</v>
      </c>
      <c r="E21" s="11" t="str">
        <f>VLOOKUP($B21,TAB,5,FALSE)</f>
        <v>Нива</v>
      </c>
      <c r="F21" s="11" t="str">
        <f>VLOOKUP($B21,TAB,6,FALSE)</f>
        <v>Light</v>
      </c>
      <c r="G21" s="17">
        <f>VLOOKUP($B21,TAB,133,FALSE)</f>
        <v>4</v>
      </c>
      <c r="H21" s="26">
        <f>VLOOKUP($B21,TAB,132,FALSE)</f>
        <v>1058</v>
      </c>
      <c r="I21" s="27">
        <f t="shared" si="0"/>
        <v>561</v>
      </c>
      <c r="J21" s="27">
        <f t="shared" si="1"/>
        <v>152</v>
      </c>
    </row>
    <row r="22" spans="1:10" s="6" customFormat="1" ht="60" x14ac:dyDescent="0.25">
      <c r="A22" s="26">
        <f>VLOOKUP($B22,TAB,134,FALSE)</f>
        <v>10</v>
      </c>
      <c r="B22" s="25">
        <v>105</v>
      </c>
      <c r="C22" s="11" t="str">
        <f>VLOOKUP($B22,TAB,2,FALSE)</f>
        <v>Мошкин Петр Александрович
Солод Дмитрий Анатольевич</v>
      </c>
      <c r="D22" s="11" t="str">
        <f>VLOOKUP($B22,TAB,4,FALSE)</f>
        <v>Сатка
Коркино</v>
      </c>
      <c r="E22" s="11" t="str">
        <f>VLOOKUP($B22,TAB,5,FALSE)</f>
        <v>Прото</v>
      </c>
      <c r="F22" s="11" t="str">
        <f>VLOOKUP($B22,TAB,6,FALSE)</f>
        <v>Hard</v>
      </c>
      <c r="G22" s="17">
        <f>VLOOKUP($B22,TAB,133,FALSE)</f>
        <v>3</v>
      </c>
      <c r="H22" s="26">
        <f>VLOOKUP($B22,TAB,132,FALSE)</f>
        <v>1010</v>
      </c>
      <c r="I22" s="27">
        <f t="shared" si="0"/>
        <v>609</v>
      </c>
      <c r="J22" s="27">
        <f t="shared" si="1"/>
        <v>48</v>
      </c>
    </row>
    <row r="23" spans="1:10" s="6" customFormat="1" ht="60" x14ac:dyDescent="0.25">
      <c r="A23" s="26">
        <f>VLOOKUP($B23,TAB,134,FALSE)</f>
        <v>11</v>
      </c>
      <c r="B23" s="25">
        <v>205</v>
      </c>
      <c r="C23" s="11" t="str">
        <f>VLOOKUP($B23,TAB,2,FALSE)</f>
        <v>Тетерин Роман Геннадьевич
Захаров Александр Васильевич</v>
      </c>
      <c r="D23" s="11" t="str">
        <f>VLOOKUP($B23,TAB,4,FALSE)</f>
        <v>Катайск
Катайск</v>
      </c>
      <c r="E23" s="11" t="str">
        <f>VLOOKUP($B23,TAB,5,FALSE)</f>
        <v>УАЗ 469</v>
      </c>
      <c r="F23" s="11" t="str">
        <f>VLOOKUP($B23,TAB,6,FALSE)</f>
        <v>Medium</v>
      </c>
      <c r="G23" s="17">
        <f>VLOOKUP($B23,TAB,133,FALSE)</f>
        <v>4</v>
      </c>
      <c r="H23" s="26">
        <f>VLOOKUP($B23,TAB,132,FALSE)</f>
        <v>988</v>
      </c>
      <c r="I23" s="27">
        <f t="shared" si="0"/>
        <v>631</v>
      </c>
      <c r="J23" s="27">
        <f t="shared" si="1"/>
        <v>22</v>
      </c>
    </row>
    <row r="24" spans="1:10" s="6" customFormat="1" ht="60" x14ac:dyDescent="0.25">
      <c r="A24" s="26">
        <f>VLOOKUP($B24,TAB,134,FALSE)</f>
        <v>12</v>
      </c>
      <c r="B24" s="25">
        <v>104</v>
      </c>
      <c r="C24" s="11" t="str">
        <f>VLOOKUP($B24,TAB,2,FALSE)</f>
        <v>Минеев Юрий Александрович
Макаренко Сергей Викторович</v>
      </c>
      <c r="D24" s="11" t="str">
        <f>VLOOKUP($B24,TAB,4,FALSE)</f>
        <v>Челябинск
Челябинск</v>
      </c>
      <c r="E24" s="11" t="str">
        <f>VLOOKUP($B24,TAB,5,FALSE)</f>
        <v>Прото</v>
      </c>
      <c r="F24" s="11" t="str">
        <f>VLOOKUP($B24,TAB,6,FALSE)</f>
        <v>Hard</v>
      </c>
      <c r="G24" s="17">
        <f>VLOOKUP($B24,TAB,133,FALSE)</f>
        <v>4</v>
      </c>
      <c r="H24" s="26">
        <f>VLOOKUP($B24,TAB,132,FALSE)</f>
        <v>898</v>
      </c>
      <c r="I24" s="27">
        <f t="shared" si="0"/>
        <v>721</v>
      </c>
      <c r="J24" s="27">
        <f t="shared" si="1"/>
        <v>90</v>
      </c>
    </row>
    <row r="25" spans="1:10" s="6" customFormat="1" ht="60" x14ac:dyDescent="0.25">
      <c r="A25" s="26">
        <f>VLOOKUP($B25,TAB,134,FALSE)</f>
        <v>13</v>
      </c>
      <c r="B25" s="25">
        <v>108</v>
      </c>
      <c r="C25" s="11" t="str">
        <f>VLOOKUP($B25,TAB,2,FALSE)</f>
        <v>Насыров Артур Уралович
Котов Вячеслав Сергеевич</v>
      </c>
      <c r="D25" s="11" t="str">
        <f>VLOOKUP($B25,TAB,4,FALSE)</f>
        <v>Сатка
Тюмень</v>
      </c>
      <c r="E25" s="11" t="str">
        <f>VLOOKUP($B25,TAB,5,FALSE)</f>
        <v>Прото</v>
      </c>
      <c r="F25" s="11" t="str">
        <f>VLOOKUP($B25,TAB,6,FALSE)</f>
        <v>Hard</v>
      </c>
      <c r="G25" s="17">
        <f>VLOOKUP($B25,TAB,133,FALSE)</f>
        <v>5</v>
      </c>
      <c r="H25" s="26">
        <f>VLOOKUP($B25,TAB,132,FALSE)</f>
        <v>739</v>
      </c>
      <c r="I25" s="27">
        <f t="shared" si="0"/>
        <v>880</v>
      </c>
      <c r="J25" s="27">
        <f t="shared" si="1"/>
        <v>159</v>
      </c>
    </row>
    <row r="26" spans="1:10" s="6" customFormat="1" ht="60" x14ac:dyDescent="0.25">
      <c r="A26" s="26">
        <f>VLOOKUP($B26,TAB,134,FALSE)</f>
        <v>15</v>
      </c>
      <c r="B26" s="25">
        <v>307</v>
      </c>
      <c r="C26" s="11" t="str">
        <f>VLOOKUP($B26,TAB,2,FALSE)</f>
        <v>Мякишев Егор Алексеевич
Харламов Евгений Сергеевич</v>
      </c>
      <c r="D26" s="11" t="str">
        <f>VLOOKUP($B26,TAB,4,FALSE)</f>
        <v>Невьянск
Екатеринбург</v>
      </c>
      <c r="E26" s="11" t="str">
        <f>VLOOKUP($B26,TAB,5,FALSE)</f>
        <v>Suzuki Jimny</v>
      </c>
      <c r="F26" s="11" t="str">
        <f>VLOOKUP($B26,TAB,6,FALSE)</f>
        <v>Light</v>
      </c>
      <c r="G26" s="17">
        <f>VLOOKUP($B26,TAB,133,FALSE)</f>
        <v>6</v>
      </c>
      <c r="H26" s="26">
        <f>VLOOKUP($B26,TAB,132,FALSE)</f>
        <v>723</v>
      </c>
      <c r="I26" s="27">
        <f t="shared" si="0"/>
        <v>896</v>
      </c>
      <c r="J26" s="27">
        <f t="shared" si="1"/>
        <v>16</v>
      </c>
    </row>
    <row r="27" spans="1:10" s="6" customFormat="1" ht="60" x14ac:dyDescent="0.25">
      <c r="A27" s="26">
        <f>VLOOKUP($B27,TAB,134,FALSE)</f>
        <v>16</v>
      </c>
      <c r="B27" s="25">
        <v>201</v>
      </c>
      <c r="C27" s="11" t="str">
        <f>VLOOKUP($B27,TAB,2,FALSE)</f>
        <v>Бикбулатов Илья Аликович
Стахеев Андрей Владимирович</v>
      </c>
      <c r="D27" s="11" t="str">
        <f>VLOOKUP($B27,TAB,4,FALSE)</f>
        <v>Первоуральск
Первоуральск</v>
      </c>
      <c r="E27" s="11" t="str">
        <f>VLOOKUP($B27,TAB,5,FALSE)</f>
        <v>УАЗ 31512</v>
      </c>
      <c r="F27" s="11" t="str">
        <f>VLOOKUP($B27,TAB,6,FALSE)</f>
        <v>Medium</v>
      </c>
      <c r="G27" s="17">
        <f>VLOOKUP($B27,TAB,133,FALSE)</f>
        <v>5</v>
      </c>
      <c r="H27" s="26">
        <f>VLOOKUP($B27,TAB,132,FALSE)</f>
        <v>691</v>
      </c>
      <c r="I27" s="27">
        <f t="shared" si="0"/>
        <v>928</v>
      </c>
      <c r="J27" s="27">
        <f t="shared" si="1"/>
        <v>32</v>
      </c>
    </row>
    <row r="28" spans="1:10" s="6" customFormat="1" ht="60" x14ac:dyDescent="0.25">
      <c r="A28" s="26">
        <f>VLOOKUP($B28,TAB,134,FALSE)</f>
        <v>18</v>
      </c>
      <c r="B28" s="25">
        <v>315</v>
      </c>
      <c r="C28" s="11" t="str">
        <f>VLOOKUP($B28,TAB,2,FALSE)</f>
        <v>Чуешов Дмитрий Александрович
Глебов Дмитрий Владимирович</v>
      </c>
      <c r="D28" s="11" t="str">
        <f>VLOOKUP($B28,TAB,4,FALSE)</f>
        <v>Екатеринбург
Екатеринбург</v>
      </c>
      <c r="E28" s="11" t="str">
        <f>VLOOKUP($B28,TAB,5,FALSE)</f>
        <v>УАЗ-469</v>
      </c>
      <c r="F28" s="11" t="str">
        <f>VLOOKUP($B28,TAB,6,FALSE)</f>
        <v>Light</v>
      </c>
      <c r="G28" s="17">
        <f>VLOOKUP($B28,TAB,133,FALSE)</f>
        <v>8</v>
      </c>
      <c r="H28" s="26">
        <f>VLOOKUP($B28,TAB,132,FALSE)</f>
        <v>675</v>
      </c>
      <c r="I28" s="27">
        <f t="shared" si="0"/>
        <v>944</v>
      </c>
      <c r="J28" s="27">
        <f t="shared" si="1"/>
        <v>16</v>
      </c>
    </row>
    <row r="29" spans="1:10" s="6" customFormat="1" ht="60" x14ac:dyDescent="0.25">
      <c r="A29" s="26">
        <f>VLOOKUP($B29,TAB,134,FALSE)</f>
        <v>17</v>
      </c>
      <c r="B29" s="25">
        <v>317</v>
      </c>
      <c r="C29" s="11" t="str">
        <f>VLOOKUP($B29,TAB,2,FALSE)</f>
        <v>Костромин Сергей Михайлович
Кольцов Виктор Александрович</v>
      </c>
      <c r="D29" s="11" t="str">
        <f>VLOOKUP($B29,TAB,4,FALSE)</f>
        <v>В. Пышма
В. Пышма</v>
      </c>
      <c r="E29" s="11" t="str">
        <f>VLOOKUP($B29,TAB,5,FALSE)</f>
        <v>УАЗ-31512</v>
      </c>
      <c r="F29" s="11" t="str">
        <f>VLOOKUP($B29,TAB,6,FALSE)</f>
        <v>Light</v>
      </c>
      <c r="G29" s="17">
        <f>VLOOKUP($B29,TAB,133,FALSE)</f>
        <v>7</v>
      </c>
      <c r="H29" s="26">
        <f>VLOOKUP($B29,TAB,132,FALSE)</f>
        <v>685</v>
      </c>
      <c r="I29" s="27">
        <f t="shared" si="0"/>
        <v>934</v>
      </c>
      <c r="J29" s="27">
        <f t="shared" si="1"/>
        <v>-10</v>
      </c>
    </row>
    <row r="30" spans="1:10" s="6" customFormat="1" ht="60" x14ac:dyDescent="0.25">
      <c r="A30" s="26">
        <f>VLOOKUP($B30,TAB,134,FALSE)</f>
        <v>19</v>
      </c>
      <c r="B30" s="25">
        <v>102</v>
      </c>
      <c r="C30" s="11" t="str">
        <f>VLOOKUP($B30,TAB,2,FALSE)</f>
        <v>Иванов Артем Альбертович
Иванов Роман Альбертович</v>
      </c>
      <c r="D30" s="11" t="str">
        <f>VLOOKUP($B30,TAB,4,FALSE)</f>
        <v>Кушва
Кушва</v>
      </c>
      <c r="E30" s="11" t="str">
        <f>VLOOKUP($B30,TAB,5,FALSE)</f>
        <v>Прото</v>
      </c>
      <c r="F30" s="11" t="str">
        <f>VLOOKUP($B30,TAB,6,FALSE)</f>
        <v>Hard</v>
      </c>
      <c r="G30" s="17">
        <f>VLOOKUP($B30,TAB,133,FALSE)</f>
        <v>6</v>
      </c>
      <c r="H30" s="26">
        <f>VLOOKUP($B30,TAB,132,FALSE)</f>
        <v>666</v>
      </c>
      <c r="I30" s="27">
        <f t="shared" si="0"/>
        <v>953</v>
      </c>
      <c r="J30" s="27">
        <f t="shared" si="1"/>
        <v>19</v>
      </c>
    </row>
    <row r="31" spans="1:10" s="6" customFormat="1" ht="60" x14ac:dyDescent="0.25">
      <c r="A31" s="26">
        <f>VLOOKUP($B31,TAB,134,FALSE)</f>
        <v>14</v>
      </c>
      <c r="B31" s="25">
        <v>208</v>
      </c>
      <c r="C31" s="11" t="str">
        <f>VLOOKUP($B31,TAB,2,FALSE)</f>
        <v>Корбков Алексей Сергеевич
Корбков Алексей Сергеевич</v>
      </c>
      <c r="D31" s="11" t="str">
        <f>VLOOKUP($B31,TAB,4,FALSE)</f>
        <v>Тюмень
Тюмень</v>
      </c>
      <c r="E31" s="11" t="str">
        <f>VLOOKUP($B31,TAB,5,FALSE)</f>
        <v>ВАЗ 2121</v>
      </c>
      <c r="F31" s="11" t="str">
        <f>VLOOKUP($B31,TAB,6,FALSE)</f>
        <v>Light</v>
      </c>
      <c r="G31" s="17">
        <f>VLOOKUP($B31,TAB,133,FALSE)</f>
        <v>5</v>
      </c>
      <c r="H31" s="26">
        <f>VLOOKUP($B31,TAB,132,FALSE)</f>
        <v>735</v>
      </c>
      <c r="I31" s="27">
        <f t="shared" si="0"/>
        <v>884</v>
      </c>
      <c r="J31" s="27">
        <f t="shared" si="1"/>
        <v>-69</v>
      </c>
    </row>
    <row r="32" spans="1:10" s="6" customFormat="1" ht="60" x14ac:dyDescent="0.25">
      <c r="A32" s="26">
        <f>VLOOKUP($B32,TAB,134,FALSE)</f>
        <v>20</v>
      </c>
      <c r="B32" s="25">
        <v>314</v>
      </c>
      <c r="C32" s="11" t="str">
        <f>VLOOKUP($B32,TAB,2,FALSE)</f>
        <v>Ачимов Павел Викторович
Алчебаев Николай Юрьевич</v>
      </c>
      <c r="D32" s="11" t="str">
        <f>VLOOKUP($B32,TAB,4,FALSE)</f>
        <v>Екатеринбург
Екатеринбург</v>
      </c>
      <c r="E32" s="11" t="str">
        <f>VLOOKUP($B32,TAB,5,FALSE)</f>
        <v>Jeep Cherokee Wagoner</v>
      </c>
      <c r="F32" s="11" t="str">
        <f>VLOOKUP($B32,TAB,6,FALSE)</f>
        <v>Light</v>
      </c>
      <c r="G32" s="17">
        <f>VLOOKUP($B32,TAB,133,FALSE)</f>
        <v>9</v>
      </c>
      <c r="H32" s="26">
        <f>VLOOKUP($B32,TAB,132,FALSE)</f>
        <v>639</v>
      </c>
      <c r="I32" s="27">
        <f t="shared" si="0"/>
        <v>980</v>
      </c>
      <c r="J32" s="27">
        <f t="shared" si="1"/>
        <v>96</v>
      </c>
    </row>
    <row r="33" spans="1:10" s="6" customFormat="1" ht="60" x14ac:dyDescent="0.25">
      <c r="A33" s="26">
        <f>VLOOKUP($B33,TAB,134,FALSE)</f>
        <v>21</v>
      </c>
      <c r="B33" s="25">
        <v>311</v>
      </c>
      <c r="C33" s="11" t="str">
        <f>VLOOKUP($B33,TAB,2,FALSE)</f>
        <v>Плотников Андрей Юрьевич
Прокопович Арсений Витальевич</v>
      </c>
      <c r="D33" s="11" t="str">
        <f>VLOOKUP($B33,TAB,4,FALSE)</f>
        <v>Тюмень
Тюмень</v>
      </c>
      <c r="E33" s="11" t="str">
        <f>VLOOKUP($B33,TAB,5,FALSE)</f>
        <v>Нива 2121</v>
      </c>
      <c r="F33" s="11" t="str">
        <f>VLOOKUP($B33,TAB,6,FALSE)</f>
        <v>Light</v>
      </c>
      <c r="G33" s="17">
        <f>VLOOKUP($B33,TAB,133,FALSE)</f>
        <v>10</v>
      </c>
      <c r="H33" s="26">
        <f>VLOOKUP($B33,TAB,132,FALSE)</f>
        <v>587</v>
      </c>
      <c r="I33" s="27">
        <f t="shared" si="0"/>
        <v>1032</v>
      </c>
      <c r="J33" s="27">
        <f t="shared" si="1"/>
        <v>52</v>
      </c>
    </row>
    <row r="34" spans="1:10" s="6" customFormat="1" ht="60" x14ac:dyDescent="0.25">
      <c r="A34" s="26">
        <f>VLOOKUP($B34,TAB,134,FALSE)</f>
        <v>23</v>
      </c>
      <c r="B34" s="25">
        <v>111</v>
      </c>
      <c r="C34" s="11" t="str">
        <f>VLOOKUP($B34,TAB,2,FALSE)</f>
        <v>Айбазов Анзор Магометович
Хубиев Расул Леонович</v>
      </c>
      <c r="D34" s="11" t="str">
        <f>VLOOKUP($B34,TAB,4,FALSE)</f>
        <v>КМВ
КМВ</v>
      </c>
      <c r="E34" s="11" t="str">
        <f>VLOOKUP($B34,TAB,5,FALSE)</f>
        <v>Прото</v>
      </c>
      <c r="F34" s="11" t="str">
        <f>VLOOKUP($B34,TAB,6,FALSE)</f>
        <v>Hard</v>
      </c>
      <c r="G34" s="17">
        <f>VLOOKUP($B34,TAB,133,FALSE)</f>
        <v>7</v>
      </c>
      <c r="H34" s="26">
        <f>VLOOKUP($B34,TAB,132,FALSE)</f>
        <v>560</v>
      </c>
      <c r="I34" s="27">
        <f t="shared" si="0"/>
        <v>1059</v>
      </c>
      <c r="J34" s="27">
        <f t="shared" si="1"/>
        <v>27</v>
      </c>
    </row>
    <row r="35" spans="1:10" s="6" customFormat="1" ht="60" x14ac:dyDescent="0.25">
      <c r="A35" s="26">
        <f>VLOOKUP($B35,TAB,134,FALSE)</f>
        <v>26</v>
      </c>
      <c r="B35" s="25">
        <v>209</v>
      </c>
      <c r="C35" s="11" t="str">
        <f>VLOOKUP($B35,TAB,2,FALSE)</f>
        <v>Фахритдинов Альберт Фикратович 
Головко Кирилл Юрьевич</v>
      </c>
      <c r="D35" s="11" t="str">
        <f>VLOOKUP($B35,TAB,4,FALSE)</f>
        <v>Екатеринбург
Екатеринбург</v>
      </c>
      <c r="E35" s="11" t="str">
        <f>VLOOKUP($B35,TAB,5,FALSE)</f>
        <v>Jeep Grand Cherokee</v>
      </c>
      <c r="F35" s="11" t="str">
        <f>VLOOKUP($B35,TAB,6,FALSE)</f>
        <v>Medium</v>
      </c>
      <c r="G35" s="17">
        <f>VLOOKUP($B35,TAB,133,FALSE)</f>
        <v>6</v>
      </c>
      <c r="H35" s="26">
        <f>VLOOKUP($B35,TAB,132,FALSE)</f>
        <v>455</v>
      </c>
      <c r="I35" s="27">
        <f t="shared" si="0"/>
        <v>1164</v>
      </c>
      <c r="J35" s="27">
        <f t="shared" si="1"/>
        <v>105</v>
      </c>
    </row>
    <row r="36" spans="1:10" s="6" customFormat="1" ht="60" x14ac:dyDescent="0.25">
      <c r="A36" s="26">
        <f>VLOOKUP($B36,TAB,134,FALSE)</f>
        <v>22</v>
      </c>
      <c r="B36" s="25">
        <v>310</v>
      </c>
      <c r="C36" s="11" t="str">
        <f>VLOOKUP($B36,TAB,2,FALSE)</f>
        <v>Пантелеев Сергей Павлович
Ефремов Кирилл Андреевич</v>
      </c>
      <c r="D36" s="11" t="str">
        <f>VLOOKUP($B36,TAB,4,FALSE)</f>
        <v>Челябинск
Челябинск</v>
      </c>
      <c r="E36" s="11" t="str">
        <f>VLOOKUP($B36,TAB,5,FALSE)</f>
        <v>Jeep Grand Cherokee</v>
      </c>
      <c r="F36" s="11" t="str">
        <f>VLOOKUP($B36,TAB,6,FALSE)</f>
        <v>Light</v>
      </c>
      <c r="G36" s="17">
        <f>VLOOKUP($B36,TAB,133,FALSE)</f>
        <v>11</v>
      </c>
      <c r="H36" s="26">
        <f>VLOOKUP($B36,TAB,132,FALSE)</f>
        <v>562</v>
      </c>
      <c r="I36" s="27">
        <f t="shared" si="0"/>
        <v>1057</v>
      </c>
      <c r="J36" s="27">
        <f t="shared" si="1"/>
        <v>-107</v>
      </c>
    </row>
    <row r="37" spans="1:10" s="6" customFormat="1" ht="60" x14ac:dyDescent="0.25">
      <c r="A37" s="26">
        <f>VLOOKUP($B37,TAB,134,FALSE)</f>
        <v>24</v>
      </c>
      <c r="B37" s="25">
        <v>100</v>
      </c>
      <c r="C37" s="11" t="str">
        <f>VLOOKUP($B37,TAB,2,FALSE)</f>
        <v>Галузин Вячеслав Владимирович
Плесовских Сергей Владимирович</v>
      </c>
      <c r="D37" s="11" t="str">
        <f>VLOOKUP($B37,TAB,4,FALSE)</f>
        <v>Златоуст
Златоуст</v>
      </c>
      <c r="E37" s="11" t="str">
        <f>VLOOKUP($B37,TAB,5,FALSE)</f>
        <v>Прото</v>
      </c>
      <c r="F37" s="11" t="str">
        <f>VLOOKUP($B37,TAB,6,FALSE)</f>
        <v>Hard</v>
      </c>
      <c r="G37" s="17">
        <f>VLOOKUP($B37,TAB,133,FALSE)</f>
        <v>8</v>
      </c>
      <c r="H37" s="26">
        <f>VLOOKUP($B37,TAB,132,FALSE)</f>
        <v>467</v>
      </c>
      <c r="I37" s="27">
        <f t="shared" si="0"/>
        <v>1152</v>
      </c>
      <c r="J37" s="27">
        <f t="shared" si="1"/>
        <v>95</v>
      </c>
    </row>
    <row r="38" spans="1:10" s="6" customFormat="1" ht="60" x14ac:dyDescent="0.25">
      <c r="A38" s="26">
        <f>VLOOKUP($B38,TAB,134,FALSE)</f>
        <v>25</v>
      </c>
      <c r="B38" s="25">
        <v>320</v>
      </c>
      <c r="C38" s="11" t="str">
        <f>VLOOKUP($B38,TAB,2,FALSE)</f>
        <v>Сунаргулов Руслан Раянович
Алеев Андрей Мухаметшаевич</v>
      </c>
      <c r="D38" s="11" t="str">
        <f>VLOOKUP($B38,TAB,4,FALSE)</f>
        <v>Челябинск
Челябинск</v>
      </c>
      <c r="E38" s="11" t="str">
        <f>VLOOKUP($B38,TAB,5,FALSE)</f>
        <v>Nissan Patrol</v>
      </c>
      <c r="F38" s="11" t="str">
        <f>VLOOKUP($B38,TAB,6,FALSE)</f>
        <v>Light</v>
      </c>
      <c r="G38" s="17">
        <f>VLOOKUP($B38,TAB,133,FALSE)</f>
        <v>12</v>
      </c>
      <c r="H38" s="26">
        <f>VLOOKUP($B38,TAB,132,FALSE)</f>
        <v>460</v>
      </c>
      <c r="I38" s="27">
        <f t="shared" si="0"/>
        <v>1159</v>
      </c>
      <c r="J38" s="27">
        <f t="shared" si="1"/>
        <v>7</v>
      </c>
    </row>
    <row r="39" spans="1:10" s="6" customFormat="1" ht="60" x14ac:dyDescent="0.25">
      <c r="A39" s="26">
        <f>VLOOKUP($B39,TAB,134,FALSE)</f>
        <v>27</v>
      </c>
      <c r="B39" s="25">
        <v>203</v>
      </c>
      <c r="C39" s="11" t="str">
        <f>VLOOKUP($B39,TAB,2,FALSE)</f>
        <v>Павелин Евгений Модестович
Давыдов Сергей Владимирович</v>
      </c>
      <c r="D39" s="11" t="str">
        <f>VLOOKUP($B39,TAB,4,FALSE)</f>
        <v>Екатеринбург
Екатеринбург</v>
      </c>
      <c r="E39" s="11" t="str">
        <f>VLOOKUP($B39,TAB,5,FALSE)</f>
        <v>TLC 70</v>
      </c>
      <c r="F39" s="11" t="str">
        <f>VLOOKUP($B39,TAB,6,FALSE)</f>
        <v>Medium</v>
      </c>
      <c r="G39" s="17">
        <f>VLOOKUP($B39,TAB,133,FALSE)</f>
        <v>7</v>
      </c>
      <c r="H39" s="26">
        <f>VLOOKUP($B39,TAB,132,FALSE)</f>
        <v>346</v>
      </c>
      <c r="I39" s="27">
        <f t="shared" si="0"/>
        <v>1273</v>
      </c>
      <c r="J39" s="27">
        <f t="shared" si="1"/>
        <v>114</v>
      </c>
    </row>
    <row r="40" spans="1:10" s="6" customFormat="1" ht="60" x14ac:dyDescent="0.25">
      <c r="A40" s="26">
        <f>VLOOKUP($B40,TAB,134,FALSE)</f>
        <v>28</v>
      </c>
      <c r="B40" s="25">
        <v>312</v>
      </c>
      <c r="C40" s="11" t="str">
        <f>VLOOKUP($B40,TAB,2,FALSE)</f>
        <v>Цветков Никита Александрович
Крякунов Антон Александрович</v>
      </c>
      <c r="D40" s="11" t="str">
        <f>VLOOKUP($B40,TAB,4,FALSE)</f>
        <v>Реж
Реж</v>
      </c>
      <c r="E40" s="11" t="str">
        <f>VLOOKUP($B40,TAB,5,FALSE)</f>
        <v>Нива 2123</v>
      </c>
      <c r="F40" s="11" t="str">
        <f>VLOOKUP($B40,TAB,6,FALSE)</f>
        <v>Light</v>
      </c>
      <c r="G40" s="17">
        <f>VLOOKUP($B40,TAB,133,FALSE)</f>
        <v>13</v>
      </c>
      <c r="H40" s="26">
        <f>VLOOKUP($B40,TAB,132,FALSE)</f>
        <v>324</v>
      </c>
      <c r="I40" s="27">
        <f t="shared" si="0"/>
        <v>1295</v>
      </c>
      <c r="J40" s="27">
        <f t="shared" si="1"/>
        <v>22</v>
      </c>
    </row>
    <row r="41" spans="1:10" s="6" customFormat="1" ht="60" x14ac:dyDescent="0.25">
      <c r="A41" s="26">
        <f>VLOOKUP($B41,TAB,134,FALSE)</f>
        <v>29</v>
      </c>
      <c r="B41" s="25">
        <v>207</v>
      </c>
      <c r="C41" s="11" t="str">
        <f>VLOOKUP($B41,TAB,2,FALSE)</f>
        <v>Моисеев Сергей Александрович
Никитин Сергей Владимирович</v>
      </c>
      <c r="D41" s="11" t="str">
        <f>VLOOKUP($B41,TAB,4,FALSE)</f>
        <v>Челябинск
Челябинск</v>
      </c>
      <c r="E41" s="11" t="str">
        <f>VLOOKUP($B41,TAB,5,FALSE)</f>
        <v>ВАЗ 2121</v>
      </c>
      <c r="F41" s="11" t="str">
        <f>VLOOKUP($B41,TAB,6,FALSE)</f>
        <v>Medium</v>
      </c>
      <c r="G41" s="17">
        <f>VLOOKUP($B41,TAB,133,FALSE)</f>
        <v>8</v>
      </c>
      <c r="H41" s="26">
        <f>VLOOKUP($B41,TAB,132,FALSE)</f>
        <v>310</v>
      </c>
      <c r="I41" s="27">
        <f t="shared" si="0"/>
        <v>1309</v>
      </c>
      <c r="J41" s="27">
        <f t="shared" si="1"/>
        <v>14</v>
      </c>
    </row>
    <row r="42" spans="1:10" s="6" customFormat="1" ht="60" x14ac:dyDescent="0.25">
      <c r="A42" s="26">
        <f>VLOOKUP($B42,TAB,134,FALSE)</f>
        <v>30</v>
      </c>
      <c r="B42" s="25">
        <v>313</v>
      </c>
      <c r="C42" s="11" t="str">
        <f>VLOOKUP($B42,TAB,2,FALSE)</f>
        <v>Иванов Артем Викторович
Пшикун Михаил Андреевич</v>
      </c>
      <c r="D42" s="11" t="str">
        <f>VLOOKUP($B42,TAB,4,FALSE)</f>
        <v>Н. Тагил
Н. Тагил</v>
      </c>
      <c r="E42" s="11" t="str">
        <f>VLOOKUP($B42,TAB,5,FALSE)</f>
        <v>Нива 2121</v>
      </c>
      <c r="F42" s="11" t="str">
        <f>VLOOKUP($B42,TAB,6,FALSE)</f>
        <v>Light</v>
      </c>
      <c r="G42" s="17">
        <f>VLOOKUP($B42,TAB,133,FALSE)</f>
        <v>14</v>
      </c>
      <c r="H42" s="26">
        <f>VLOOKUP($B42,TAB,132,FALSE)</f>
        <v>300</v>
      </c>
      <c r="I42" s="27">
        <f t="shared" si="0"/>
        <v>1319</v>
      </c>
      <c r="J42" s="27">
        <f t="shared" si="1"/>
        <v>10</v>
      </c>
    </row>
    <row r="43" spans="1:10" s="6" customFormat="1" ht="60" x14ac:dyDescent="0.25">
      <c r="A43" s="26">
        <f>VLOOKUP($B43,TAB,134,FALSE)</f>
        <v>31</v>
      </c>
      <c r="B43" s="25">
        <v>301</v>
      </c>
      <c r="C43" s="11" t="str">
        <f>VLOOKUP($B43,TAB,2,FALSE)</f>
        <v>Бобров Алексей Сергеевич
Соколов Андрей Андреевич</v>
      </c>
      <c r="D43" s="11" t="str">
        <f>VLOOKUP($B43,TAB,4,FALSE)</f>
        <v>Н. Тагил
Н. Тагил</v>
      </c>
      <c r="E43" s="11" t="str">
        <f>VLOOKUP($B43,TAB,5,FALSE)</f>
        <v>УАЗ 315195</v>
      </c>
      <c r="F43" s="11" t="str">
        <f>VLOOKUP($B43,TAB,6,FALSE)</f>
        <v>Light</v>
      </c>
      <c r="G43" s="17">
        <f>VLOOKUP($B43,TAB,133,FALSE)</f>
        <v>15</v>
      </c>
      <c r="H43" s="26">
        <f>VLOOKUP($B43,TAB,132,FALSE)</f>
        <v>278</v>
      </c>
      <c r="I43" s="27">
        <f t="shared" si="0"/>
        <v>1341</v>
      </c>
      <c r="J43" s="27">
        <f t="shared" si="1"/>
        <v>22</v>
      </c>
    </row>
    <row r="44" spans="1:10" s="6" customFormat="1" ht="60" x14ac:dyDescent="0.25">
      <c r="A44" s="26">
        <f>VLOOKUP($B44,TAB,134,FALSE)</f>
        <v>32</v>
      </c>
      <c r="B44" s="25">
        <v>305</v>
      </c>
      <c r="C44" s="11" t="str">
        <f>VLOOKUP($B44,TAB,2,FALSE)</f>
        <v>Коркодинов Андрей Игоревич
Ибрагимов Рамиль Зуфарович</v>
      </c>
      <c r="D44" s="11" t="str">
        <f>VLOOKUP($B44,TAB,4,FALSE)</f>
        <v>Реж
Реж</v>
      </c>
      <c r="E44" s="11" t="str">
        <f>VLOOKUP($B44,TAB,5,FALSE)</f>
        <v>Нива 2121</v>
      </c>
      <c r="F44" s="11" t="str">
        <f>VLOOKUP($B44,TAB,6,FALSE)</f>
        <v>Light</v>
      </c>
      <c r="G44" s="17">
        <f>VLOOKUP($B44,TAB,133,FALSE)</f>
        <v>16</v>
      </c>
      <c r="H44" s="26">
        <f>VLOOKUP($B44,TAB,132,FALSE)</f>
        <v>273</v>
      </c>
      <c r="I44" s="27">
        <f t="shared" si="0"/>
        <v>1346</v>
      </c>
      <c r="J44" s="27">
        <f t="shared" si="1"/>
        <v>5</v>
      </c>
    </row>
    <row r="45" spans="1:10" s="6" customFormat="1" ht="60" x14ac:dyDescent="0.25">
      <c r="A45" s="26">
        <f>VLOOKUP($B45,TAB,134,FALSE)</f>
        <v>33</v>
      </c>
      <c r="B45" s="25">
        <v>302</v>
      </c>
      <c r="C45" s="11" t="str">
        <f>VLOOKUP($B45,TAB,2,FALSE)</f>
        <v>Гончар Алексей Евгеньевич
Захаров Артем Олегович</v>
      </c>
      <c r="D45" s="11" t="str">
        <f>VLOOKUP($B45,TAB,4,FALSE)</f>
        <v>Копейск
Копейск</v>
      </c>
      <c r="E45" s="11" t="str">
        <f>VLOOKUP($B45,TAB,5,FALSE)</f>
        <v>Mitsubishi Pajero</v>
      </c>
      <c r="F45" s="11" t="str">
        <f>VLOOKUP($B45,TAB,6,FALSE)</f>
        <v>Light</v>
      </c>
      <c r="G45" s="17">
        <f>VLOOKUP($B45,TAB,133,FALSE)</f>
        <v>17</v>
      </c>
      <c r="H45" s="26">
        <f>VLOOKUP($B45,TAB,132,FALSE)</f>
        <v>261</v>
      </c>
      <c r="I45" s="27">
        <f t="shared" si="0"/>
        <v>1358</v>
      </c>
      <c r="J45" s="27">
        <f t="shared" si="1"/>
        <v>12</v>
      </c>
    </row>
    <row r="46" spans="1:10" s="6" customFormat="1" ht="60" x14ac:dyDescent="0.25">
      <c r="A46" s="26">
        <f>VLOOKUP($B46,TAB,134,FALSE)</f>
        <v>34</v>
      </c>
      <c r="B46" s="25">
        <v>316</v>
      </c>
      <c r="C46" s="11" t="str">
        <f>VLOOKUP($B46,TAB,2,FALSE)</f>
        <v>Сумин Андрей Станиславович
Петров Сергей Александрович</v>
      </c>
      <c r="D46" s="11" t="str">
        <f>VLOOKUP($B46,TAB,4,FALSE)</f>
        <v>Челябинск
Челябинск</v>
      </c>
      <c r="E46" s="11" t="str">
        <f>VLOOKUP($B46,TAB,5,FALSE)</f>
        <v>ВАЗ 2121</v>
      </c>
      <c r="F46" s="11" t="str">
        <f>VLOOKUP($B46,TAB,6,FALSE)</f>
        <v>Light</v>
      </c>
      <c r="G46" s="17">
        <f>VLOOKUP($B46,TAB,133,FALSE)</f>
        <v>18</v>
      </c>
      <c r="H46" s="26">
        <f>VLOOKUP($B46,TAB,132,FALSE)</f>
        <v>222</v>
      </c>
      <c r="I46" s="27">
        <f t="shared" si="0"/>
        <v>1397</v>
      </c>
      <c r="J46" s="27">
        <f t="shared" si="1"/>
        <v>39</v>
      </c>
    </row>
    <row r="47" spans="1:10" s="6" customFormat="1" ht="60" x14ac:dyDescent="0.25">
      <c r="A47" s="26">
        <f>VLOOKUP($B47,TAB,134,FALSE)</f>
        <v>36</v>
      </c>
      <c r="B47" s="25">
        <v>309</v>
      </c>
      <c r="C47" s="11" t="str">
        <f>VLOOKUP($B47,TAB,2,FALSE)</f>
        <v>Павлов Алексей Сергеевич
Чернов Анатолий Михайлович</v>
      </c>
      <c r="D47" s="11" t="str">
        <f>VLOOKUP($B47,TAB,4,FALSE)</f>
        <v>Юргамыш
Юргамыш</v>
      </c>
      <c r="E47" s="11" t="str">
        <f>VLOOKUP($B47,TAB,5,FALSE)</f>
        <v>УАЗ 469</v>
      </c>
      <c r="F47" s="11" t="str">
        <f>VLOOKUP($B47,TAB,6,FALSE)</f>
        <v>Light</v>
      </c>
      <c r="G47" s="17">
        <f>VLOOKUP($B47,TAB,133,FALSE)</f>
        <v>20</v>
      </c>
      <c r="H47" s="26">
        <f>VLOOKUP($B47,TAB,132,FALSE)</f>
        <v>103</v>
      </c>
      <c r="I47" s="27">
        <f t="shared" si="0"/>
        <v>1516</v>
      </c>
      <c r="J47" s="27">
        <f>IF(H47="СХОД","СХОД",IF(A47=1,"**",H46-H47))</f>
        <v>119</v>
      </c>
    </row>
    <row r="48" spans="1:10" s="6" customFormat="1" ht="60" x14ac:dyDescent="0.25">
      <c r="A48" s="26">
        <f>VLOOKUP($B48,TAB,134,FALSE)</f>
        <v>35</v>
      </c>
      <c r="B48" s="25">
        <v>318</v>
      </c>
      <c r="C48" s="11" t="str">
        <f>VLOOKUP($B48,TAB,2,FALSE)</f>
        <v>Осокин Михаил Сергеевич
Осокин Александр Сергеевич</v>
      </c>
      <c r="D48" s="11" t="str">
        <f>VLOOKUP($B48,TAB,4,FALSE)</f>
        <v>п. Восточный
п. Восточный</v>
      </c>
      <c r="E48" s="11" t="str">
        <f>VLOOKUP($B48,TAB,5,FALSE)</f>
        <v>УАЗ Пикап</v>
      </c>
      <c r="F48" s="11" t="str">
        <f>VLOOKUP($B48,TAB,6,FALSE)</f>
        <v>Light</v>
      </c>
      <c r="G48" s="17">
        <f>VLOOKUP($B48,TAB,133,FALSE)</f>
        <v>19</v>
      </c>
      <c r="H48" s="26">
        <f>VLOOKUP($B48,TAB,132,FALSE)</f>
        <v>140</v>
      </c>
      <c r="I48" s="27">
        <f t="shared" si="0"/>
        <v>1479</v>
      </c>
      <c r="J48" s="27">
        <f>IF(H48="СХОД","СХОД",IF(A48=1,"**",H47-H48))</f>
        <v>-37</v>
      </c>
    </row>
    <row r="49" spans="1:18" s="6" customFormat="1" ht="60" x14ac:dyDescent="0.25">
      <c r="A49" s="26">
        <f>VLOOKUP($B49,TAB,134,FALSE)</f>
        <v>37</v>
      </c>
      <c r="B49" s="25">
        <v>304</v>
      </c>
      <c r="C49" s="11" t="str">
        <f>VLOOKUP($B49,TAB,2,FALSE)</f>
        <v>Извеков Вадим Васильевич
Просеков Алексей Федорович</v>
      </c>
      <c r="D49" s="11" t="str">
        <f>VLOOKUP($B49,TAB,4,FALSE)</f>
        <v>Юргамыш
Юргамыш</v>
      </c>
      <c r="E49" s="11" t="str">
        <f>VLOOKUP($B49,TAB,5,FALSE)</f>
        <v>УАЗ 31514</v>
      </c>
      <c r="F49" s="11" t="str">
        <f>VLOOKUP($B49,TAB,6,FALSE)</f>
        <v>Light</v>
      </c>
      <c r="G49" s="17">
        <f>VLOOKUP($B49,TAB,133,FALSE)</f>
        <v>21</v>
      </c>
      <c r="H49" s="26">
        <f>VLOOKUP($B49,TAB,132,FALSE)</f>
        <v>40</v>
      </c>
      <c r="I49" s="27">
        <f t="shared" si="0"/>
        <v>1579</v>
      </c>
      <c r="J49" s="27">
        <f t="shared" si="1"/>
        <v>100</v>
      </c>
    </row>
    <row r="51" spans="1:18" s="41" customFormat="1" x14ac:dyDescent="0.25">
      <c r="A51" s="38"/>
      <c r="B51" s="37" t="s">
        <v>157</v>
      </c>
      <c r="C51" s="37"/>
      <c r="D51" s="37"/>
      <c r="E51" s="37" t="s">
        <v>158</v>
      </c>
      <c r="F51" s="37"/>
      <c r="G51" s="44"/>
      <c r="H51" s="40"/>
      <c r="I51" s="40"/>
      <c r="J51" s="40"/>
      <c r="K51" s="39"/>
      <c r="L51" s="40"/>
      <c r="N51" s="40"/>
      <c r="O51" s="39"/>
      <c r="P51" s="40"/>
      <c r="Q51" s="40"/>
      <c r="R51" s="40"/>
    </row>
  </sheetData>
  <sortState ref="A13:J49">
    <sortCondition ref="A13:A49"/>
  </sortState>
  <mergeCells count="18">
    <mergeCell ref="F11:F12"/>
    <mergeCell ref="G11:G12"/>
    <mergeCell ref="A7:J7"/>
    <mergeCell ref="A8:J8"/>
    <mergeCell ref="A9:J9"/>
    <mergeCell ref="A11:A12"/>
    <mergeCell ref="B11:B12"/>
    <mergeCell ref="C11:C12"/>
    <mergeCell ref="D11:D12"/>
    <mergeCell ref="E11:E12"/>
    <mergeCell ref="H11:H12"/>
    <mergeCell ref="I11:J11"/>
    <mergeCell ref="A6:J6"/>
    <mergeCell ref="A1:J1"/>
    <mergeCell ref="A2:J2"/>
    <mergeCell ref="A3:J3"/>
    <mergeCell ref="A4:J4"/>
    <mergeCell ref="A5:J5"/>
  </mergeCells>
  <printOptions horizontalCentered="1"/>
  <pageMargins left="0.31496062992125984" right="0.31496062992125984" top="0.74803149606299213" bottom="0.35433070866141736" header="0.31496062992125984" footer="0.31496062992125984"/>
  <pageSetup paperSize="9" scale="9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09"/>
  <sheetViews>
    <sheetView zoomScaleNormal="100" workbookViewId="0">
      <selection activeCell="A101" sqref="A13:A101"/>
    </sheetView>
  </sheetViews>
  <sheetFormatPr defaultRowHeight="15" x14ac:dyDescent="0.25"/>
  <cols>
    <col min="1" max="1" width="4.85546875" style="59" customWidth="1"/>
    <col min="2" max="2" width="23.28515625" style="59" customWidth="1"/>
    <col min="3" max="3" width="19.7109375" style="59" customWidth="1"/>
    <col min="4" max="4" width="12.28515625" style="59" customWidth="1"/>
    <col min="5" max="5" width="7.140625" style="59" customWidth="1"/>
    <col min="6" max="8" width="6.28515625" style="59" customWidth="1"/>
    <col min="9" max="9" width="7.140625" style="59" customWidth="1"/>
    <col min="10" max="12" width="6.28515625" style="59" customWidth="1"/>
    <col min="13" max="13" width="7.140625" style="59" customWidth="1"/>
    <col min="14" max="16" width="6.28515625" style="59" customWidth="1"/>
    <col min="17" max="17" width="4.85546875" style="20" customWidth="1"/>
    <col min="18" max="18" width="23.28515625" style="20" bestFit="1" customWidth="1"/>
    <col min="19" max="19" width="19.7109375" style="20" bestFit="1" customWidth="1"/>
    <col min="20" max="20" width="12.28515625" style="20" bestFit="1" customWidth="1"/>
    <col min="21" max="21" width="7.140625" style="20" bestFit="1" customWidth="1"/>
    <col min="22" max="22" width="6.28515625" style="20" customWidth="1"/>
    <col min="23" max="23" width="6.28515625" style="20" bestFit="1" customWidth="1"/>
    <col min="24" max="24" width="6.28515625" style="20" customWidth="1"/>
    <col min="25" max="25" width="7.140625" style="20" bestFit="1" customWidth="1"/>
    <col min="26" max="28" width="6.28515625" style="20" customWidth="1"/>
    <col min="29" max="29" width="7.140625" style="20" bestFit="1" customWidth="1"/>
    <col min="30" max="32" width="6.28515625" style="20" customWidth="1"/>
    <col min="33" max="33" width="4.85546875" style="52" customWidth="1"/>
    <col min="34" max="34" width="23.28515625" style="52" bestFit="1" customWidth="1"/>
    <col min="35" max="35" width="19.7109375" style="52" bestFit="1" customWidth="1"/>
    <col min="36" max="36" width="12.28515625" style="52" bestFit="1" customWidth="1"/>
    <col min="37" max="37" width="7.140625" style="52" bestFit="1" customWidth="1"/>
    <col min="38" max="38" width="6.28515625" style="52" customWidth="1"/>
    <col min="39" max="39" width="6.28515625" style="52" bestFit="1" customWidth="1"/>
    <col min="40" max="40" width="6.28515625" style="52" customWidth="1"/>
    <col min="41" max="41" width="7.140625" style="52" bestFit="1" customWidth="1"/>
    <col min="42" max="44" width="6.28515625" style="52" customWidth="1"/>
    <col min="45" max="45" width="7.140625" style="52" bestFit="1" customWidth="1"/>
    <col min="46" max="48" width="6.28515625" style="52" customWidth="1"/>
    <col min="49" max="49" width="4.85546875" style="52" customWidth="1"/>
    <col min="50" max="50" width="23.28515625" style="52" bestFit="1" customWidth="1"/>
    <col min="51" max="51" width="19.7109375" style="52" bestFit="1" customWidth="1"/>
    <col min="52" max="52" width="12.28515625" style="52" bestFit="1" customWidth="1"/>
    <col min="53" max="53" width="7.140625" style="52" bestFit="1" customWidth="1"/>
    <col min="54" max="54" width="6.28515625" style="52" customWidth="1"/>
    <col min="55" max="55" width="6.28515625" style="52" bestFit="1" customWidth="1"/>
    <col min="56" max="56" width="6.28515625" style="52" customWidth="1"/>
    <col min="57" max="57" width="7.140625" style="52" bestFit="1" customWidth="1"/>
    <col min="58" max="60" width="6.28515625" style="52" customWidth="1"/>
    <col min="61" max="61" width="7.140625" style="52" bestFit="1" customWidth="1"/>
    <col min="62" max="64" width="6.28515625" style="52" customWidth="1"/>
    <col min="65" max="65" width="4.85546875" style="52" customWidth="1"/>
    <col min="66" max="66" width="23.28515625" style="52" bestFit="1" customWidth="1"/>
    <col min="67" max="67" width="19.7109375" style="52" bestFit="1" customWidth="1"/>
    <col min="68" max="68" width="12.28515625" style="52" bestFit="1" customWidth="1"/>
    <col min="69" max="69" width="7.140625" style="52" bestFit="1" customWidth="1"/>
    <col min="70" max="70" width="6.28515625" style="52" customWidth="1"/>
    <col min="71" max="71" width="6.28515625" style="52" bestFit="1" customWidth="1"/>
    <col min="72" max="72" width="6.28515625" style="52" customWidth="1"/>
    <col min="73" max="73" width="7.140625" style="52" bestFit="1" customWidth="1"/>
    <col min="74" max="76" width="6.28515625" style="52" customWidth="1"/>
    <col min="77" max="77" width="7.140625" style="52" bestFit="1" customWidth="1"/>
    <col min="78" max="80" width="6.28515625" style="52" customWidth="1"/>
    <col min="81" max="81" width="4.85546875" style="52" customWidth="1"/>
    <col min="82" max="82" width="23.28515625" style="52" bestFit="1" customWidth="1"/>
    <col min="83" max="83" width="19.7109375" style="52" bestFit="1" customWidth="1"/>
    <col min="84" max="84" width="12.28515625" style="52" bestFit="1" customWidth="1"/>
    <col min="85" max="85" width="7.140625" style="52" bestFit="1" customWidth="1"/>
    <col min="86" max="86" width="6.28515625" style="52" customWidth="1"/>
    <col min="87" max="87" width="6.28515625" style="52" bestFit="1" customWidth="1"/>
    <col min="88" max="88" width="6.28515625" style="52" customWidth="1"/>
    <col min="89" max="89" width="7.140625" style="52" bestFit="1" customWidth="1"/>
    <col min="90" max="92" width="6.28515625" style="52" customWidth="1"/>
    <col min="93" max="93" width="7.140625" style="52" bestFit="1" customWidth="1"/>
    <col min="94" max="96" width="6.28515625" style="52" customWidth="1"/>
    <col min="97" max="16384" width="9.140625" style="20"/>
  </cols>
  <sheetData>
    <row r="1" spans="1:96" x14ac:dyDescent="0.25">
      <c r="A1" s="56" t="str">
        <f>Данные!B66</f>
        <v>Российская автомобильная федерация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79" t="str">
        <f>Данные!B66</f>
        <v>Российская автомобильная федерация</v>
      </c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 t="str">
        <f>Данные!B66</f>
        <v>Российская автомобильная федерация</v>
      </c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 t="str">
        <f>Данные!B66</f>
        <v>Российская автомобильная федерация</v>
      </c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 t="str">
        <f>Данные!B66</f>
        <v>Российская автомобильная федерация</v>
      </c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  <c r="CC1" s="79" t="str">
        <f>Данные!B66</f>
        <v>Российская автомобильная федерация</v>
      </c>
      <c r="CD1" s="79"/>
      <c r="CE1" s="79"/>
      <c r="CF1" s="79"/>
      <c r="CG1" s="79"/>
      <c r="CH1" s="79"/>
      <c r="CI1" s="79"/>
      <c r="CJ1" s="79"/>
      <c r="CK1" s="79"/>
      <c r="CL1" s="79"/>
      <c r="CM1" s="79"/>
      <c r="CN1" s="79"/>
      <c r="CO1" s="79"/>
      <c r="CP1" s="79"/>
      <c r="CQ1" s="79"/>
      <c r="CR1" s="79"/>
    </row>
    <row r="2" spans="1:96" x14ac:dyDescent="0.25">
      <c r="A2" s="79" t="str">
        <f>Данные!B67</f>
        <v>ФАС Челябинской области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 t="str">
        <f>Данные!B67</f>
        <v>ФАС Челябинской области</v>
      </c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 t="str">
        <f>Данные!B67</f>
        <v>ФАС Челябинской области</v>
      </c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 t="str">
        <f>Данные!B67</f>
        <v>ФАС Челябинской области</v>
      </c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 t="str">
        <f>Данные!B67</f>
        <v>ФАС Челябинской области</v>
      </c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 t="str">
        <f>Данные!B67</f>
        <v>ФАС Челябинской области</v>
      </c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</row>
    <row r="3" spans="1:96" x14ac:dyDescent="0.25">
      <c r="A3" s="79" t="str">
        <f>Данные!B68</f>
        <v xml:space="preserve">Команда  Red Off-road Expedition 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 t="str">
        <f>Данные!B68</f>
        <v xml:space="preserve">Команда  Red Off-road Expedition </v>
      </c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 t="str">
        <f>Данные!B68</f>
        <v xml:space="preserve">Команда  Red Off-road Expedition </v>
      </c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 t="str">
        <f>Данные!B68</f>
        <v xml:space="preserve">Команда  Red Off-road Expedition </v>
      </c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 t="str">
        <f>Данные!B68</f>
        <v xml:space="preserve">Команда  Red Off-road Expedition </v>
      </c>
      <c r="BN3" s="79"/>
      <c r="BO3" s="79"/>
      <c r="BP3" s="79"/>
      <c r="BQ3" s="79"/>
      <c r="BR3" s="79"/>
      <c r="BS3" s="79"/>
      <c r="BT3" s="79"/>
      <c r="BU3" s="79"/>
      <c r="BV3" s="79"/>
      <c r="BW3" s="79"/>
      <c r="BX3" s="79"/>
      <c r="BY3" s="79"/>
      <c r="BZ3" s="79"/>
      <c r="CA3" s="79"/>
      <c r="CB3" s="79"/>
      <c r="CC3" s="79" t="str">
        <f>Данные!B68</f>
        <v xml:space="preserve">Команда  Red Off-road Expedition </v>
      </c>
      <c r="CD3" s="79"/>
      <c r="CE3" s="79"/>
      <c r="CF3" s="79"/>
      <c r="CG3" s="79"/>
      <c r="CH3" s="79"/>
      <c r="CI3" s="79"/>
      <c r="CJ3" s="79"/>
      <c r="CK3" s="79"/>
      <c r="CL3" s="79"/>
      <c r="CM3" s="79"/>
      <c r="CN3" s="79"/>
      <c r="CO3" s="79"/>
      <c r="CP3" s="79"/>
      <c r="CQ3" s="79"/>
      <c r="CR3" s="79"/>
    </row>
    <row r="4" spans="1:96" x14ac:dyDescent="0.25">
      <c r="A4" s="79" t="str">
        <f>Данные!B69</f>
        <v>ООО «Внедорожный центр 4х4»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 t="str">
        <f>Данные!B69</f>
        <v>ООО «Внедорожный центр 4х4»</v>
      </c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 t="str">
        <f>Данные!B69</f>
        <v>ООО «Внедорожный центр 4х4»</v>
      </c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 t="str">
        <f>Данные!B69</f>
        <v>ООО «Внедорожный центр 4х4»</v>
      </c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 t="str">
        <f>Данные!B69</f>
        <v>ООО «Внедорожный центр 4х4»</v>
      </c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 t="str">
        <f>Данные!B69</f>
        <v>ООО «Внедорожный центр 4х4»</v>
      </c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</row>
    <row r="5" spans="1:96" x14ac:dyDescent="0.25">
      <c r="A5" s="79" t="str">
        <f>Данные!B70</f>
        <v>Команда Pro-X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 t="str">
        <f>Данные!B70</f>
        <v>Команда Pro-X</v>
      </c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 t="str">
        <f>Данные!B70</f>
        <v>Команда Pro-X</v>
      </c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 t="str">
        <f>Данные!B70</f>
        <v>Команда Pro-X</v>
      </c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 t="str">
        <f>Данные!B70</f>
        <v>Команда Pro-X</v>
      </c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 t="str">
        <f>Данные!B70</f>
        <v>Команда Pro-X</v>
      </c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</row>
    <row r="6" spans="1:96" x14ac:dyDescent="0.25">
      <c r="A6" s="79" t="str">
        <f>Данные!B71</f>
        <v>Этап кубка Урало-Сибирской зоны по трофи-рейдам</v>
      </c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 t="str">
        <f>Данные!B71</f>
        <v>Этап кубка Урало-Сибирской зоны по трофи-рейдам</v>
      </c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 t="str">
        <f>Данные!B71</f>
        <v>Этап кубка Урало-Сибирской зоны по трофи-рейдам</v>
      </c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 t="str">
        <f>Данные!B71</f>
        <v>Этап кубка Урало-Сибирской зоны по трофи-рейдам</v>
      </c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  <c r="BM6" s="79" t="str">
        <f>Данные!B71</f>
        <v>Этап кубка Урало-Сибирской зоны по трофи-рейдам</v>
      </c>
      <c r="BN6" s="79"/>
      <c r="BO6" s="79"/>
      <c r="BP6" s="79"/>
      <c r="BQ6" s="79"/>
      <c r="BR6" s="79"/>
      <c r="BS6" s="79"/>
      <c r="BT6" s="79"/>
      <c r="BU6" s="79"/>
      <c r="BV6" s="79"/>
      <c r="BW6" s="79"/>
      <c r="BX6" s="79"/>
      <c r="BY6" s="79"/>
      <c r="BZ6" s="79"/>
      <c r="CA6" s="79"/>
      <c r="CB6" s="79"/>
      <c r="CC6" s="79" t="str">
        <f>Данные!B71</f>
        <v>Этап кубка Урало-Сибирской зоны по трофи-рейдам</v>
      </c>
      <c r="CD6" s="79"/>
      <c r="CE6" s="79"/>
      <c r="CF6" s="79"/>
      <c r="CG6" s="79"/>
      <c r="CH6" s="79"/>
      <c r="CI6" s="79"/>
      <c r="CJ6" s="79"/>
      <c r="CK6" s="79"/>
      <c r="CL6" s="79"/>
      <c r="CM6" s="79"/>
      <c r="CN6" s="79"/>
      <c r="CO6" s="79"/>
      <c r="CP6" s="79"/>
      <c r="CQ6" s="79"/>
      <c r="CR6" s="79"/>
    </row>
    <row r="7" spans="1:96" x14ac:dyDescent="0.25">
      <c r="A7" s="79" t="str">
        <f>Данные!B72</f>
        <v>г.Челябинск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 t="str">
        <f>Данные!B72</f>
        <v>г.Челябинск</v>
      </c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 t="str">
        <f>Данные!B72</f>
        <v>г.Челябинск</v>
      </c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 t="str">
        <f>Данные!B72</f>
        <v>г.Челябинск</v>
      </c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 t="str">
        <f>Данные!B72</f>
        <v>г.Челябинск</v>
      </c>
      <c r="BN7" s="79"/>
      <c r="BO7" s="79"/>
      <c r="BP7" s="79"/>
      <c r="BQ7" s="79"/>
      <c r="BR7" s="79"/>
      <c r="BS7" s="79"/>
      <c r="BT7" s="79"/>
      <c r="BU7" s="79"/>
      <c r="BV7" s="79"/>
      <c r="BW7" s="79"/>
      <c r="BX7" s="79"/>
      <c r="BY7" s="79"/>
      <c r="BZ7" s="79"/>
      <c r="CA7" s="79"/>
      <c r="CB7" s="79"/>
      <c r="CC7" s="79" t="str">
        <f>Данные!B72</f>
        <v>г.Челябинск</v>
      </c>
      <c r="CD7" s="79"/>
      <c r="CE7" s="79"/>
      <c r="CF7" s="79"/>
      <c r="CG7" s="79"/>
      <c r="CH7" s="79"/>
      <c r="CI7" s="79"/>
      <c r="CJ7" s="79"/>
      <c r="CK7" s="79"/>
      <c r="CL7" s="79"/>
      <c r="CM7" s="79"/>
      <c r="CN7" s="79"/>
      <c r="CO7" s="79"/>
      <c r="CP7" s="79"/>
      <c r="CQ7" s="79"/>
      <c r="CR7" s="79"/>
    </row>
    <row r="8" spans="1:96" x14ac:dyDescent="0.25">
      <c r="A8" s="80">
        <f>Данные!B73</f>
        <v>43358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>
        <f>Данные!B73</f>
        <v>43358</v>
      </c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>
        <f>Данные!B73</f>
        <v>43358</v>
      </c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>
        <f>Данные!B73</f>
        <v>43358</v>
      </c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>
        <f>Данные!B73</f>
        <v>43358</v>
      </c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>
        <f>Данные!B73</f>
        <v>43358</v>
      </c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</row>
    <row r="9" spans="1:96" s="19" customFormat="1" x14ac:dyDescent="0.25">
      <c r="A9" s="81" t="s">
        <v>164</v>
      </c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 t="s">
        <v>164</v>
      </c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 t="s">
        <v>164</v>
      </c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 t="s">
        <v>164</v>
      </c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 t="s">
        <v>164</v>
      </c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 t="s">
        <v>164</v>
      </c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</row>
    <row r="10" spans="1:96" s="19" customFormat="1" x14ac:dyDescent="0.25">
      <c r="A10" s="97" t="s">
        <v>212</v>
      </c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 t="s">
        <v>212</v>
      </c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 t="s">
        <v>212</v>
      </c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 t="s">
        <v>212</v>
      </c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 t="s">
        <v>212</v>
      </c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 t="s">
        <v>212</v>
      </c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</row>
    <row r="11" spans="1:96" s="29" customFormat="1" ht="15" customHeight="1" x14ac:dyDescent="0.25">
      <c r="A11" s="82" t="s">
        <v>111</v>
      </c>
      <c r="B11" s="82" t="s">
        <v>1</v>
      </c>
      <c r="C11" s="82" t="s">
        <v>3</v>
      </c>
      <c r="D11" s="83" t="s">
        <v>4</v>
      </c>
      <c r="E11" s="43" t="s">
        <v>223</v>
      </c>
      <c r="F11" s="95" t="str">
        <f>VLOOKUP(E11,SU,2,FALSE)</f>
        <v>Кольцевая гонка</v>
      </c>
      <c r="G11" s="95"/>
      <c r="H11" s="96"/>
      <c r="I11" s="64"/>
      <c r="J11" s="98"/>
      <c r="K11" s="98"/>
      <c r="L11" s="98"/>
      <c r="M11" s="65"/>
      <c r="N11" s="98"/>
      <c r="O11" s="98"/>
      <c r="P11" s="98"/>
      <c r="Q11" s="82" t="s">
        <v>111</v>
      </c>
      <c r="R11" s="82" t="s">
        <v>1</v>
      </c>
      <c r="S11" s="82" t="s">
        <v>3</v>
      </c>
      <c r="T11" s="83" t="s">
        <v>4</v>
      </c>
      <c r="U11" s="43" t="s">
        <v>168</v>
      </c>
      <c r="V11" s="95" t="str">
        <f>VLOOKUP(U11,SU,2,FALSE)</f>
        <v>СУ-16</v>
      </c>
      <c r="W11" s="95"/>
      <c r="X11" s="96"/>
      <c r="Y11" s="43" t="s">
        <v>169</v>
      </c>
      <c r="Z11" s="95" t="str">
        <f>VLOOKUP(Y11,SU,2,FALSE)</f>
        <v>СУ-17</v>
      </c>
      <c r="AA11" s="95"/>
      <c r="AB11" s="96"/>
      <c r="AC11" s="43" t="s">
        <v>170</v>
      </c>
      <c r="AD11" s="95" t="str">
        <f>VLOOKUP(AC11,SU,2,FALSE)</f>
        <v>СУ-18</v>
      </c>
      <c r="AE11" s="95"/>
      <c r="AF11" s="96"/>
      <c r="AG11" s="82" t="s">
        <v>111</v>
      </c>
      <c r="AH11" s="82" t="s">
        <v>1</v>
      </c>
      <c r="AI11" s="82" t="s">
        <v>3</v>
      </c>
      <c r="AJ11" s="83" t="s">
        <v>4</v>
      </c>
      <c r="AK11" s="43" t="s">
        <v>186</v>
      </c>
      <c r="AL11" s="95" t="str">
        <f>VLOOKUP(AK11,SU,2,FALSE)</f>
        <v>СУ-19</v>
      </c>
      <c r="AM11" s="95"/>
      <c r="AN11" s="96"/>
      <c r="AO11" s="43" t="s">
        <v>187</v>
      </c>
      <c r="AP11" s="95" t="str">
        <f>VLOOKUP(AO11,SU,2,FALSE)</f>
        <v>СУ-20</v>
      </c>
      <c r="AQ11" s="95"/>
      <c r="AR11" s="96"/>
      <c r="AS11" s="43" t="s">
        <v>188</v>
      </c>
      <c r="AT11" s="95" t="str">
        <f>VLOOKUP(AS11,SU,2,FALSE)</f>
        <v>СУ-21</v>
      </c>
      <c r="AU11" s="95"/>
      <c r="AV11" s="96"/>
      <c r="AW11" s="82" t="s">
        <v>111</v>
      </c>
      <c r="AX11" s="82" t="s">
        <v>1</v>
      </c>
      <c r="AY11" s="82" t="s">
        <v>3</v>
      </c>
      <c r="AZ11" s="83" t="s">
        <v>4</v>
      </c>
      <c r="BA11" s="43" t="s">
        <v>189</v>
      </c>
      <c r="BB11" s="95" t="str">
        <f>VLOOKUP(BA11,SU,2,FALSE)</f>
        <v>СУ-22</v>
      </c>
      <c r="BC11" s="95"/>
      <c r="BD11" s="96"/>
      <c r="BE11" s="43" t="s">
        <v>190</v>
      </c>
      <c r="BF11" s="95" t="str">
        <f>VLOOKUP(BE11,SU,2,FALSE)</f>
        <v>СУ-23</v>
      </c>
      <c r="BG11" s="95"/>
      <c r="BH11" s="96"/>
      <c r="BI11" s="43" t="s">
        <v>191</v>
      </c>
      <c r="BJ11" s="95" t="str">
        <f>VLOOKUP(BI11,SU,2,FALSE)</f>
        <v>СУ-24</v>
      </c>
      <c r="BK11" s="95"/>
      <c r="BL11" s="96"/>
      <c r="BM11" s="82" t="s">
        <v>111</v>
      </c>
      <c r="BN11" s="82" t="s">
        <v>1</v>
      </c>
      <c r="BO11" s="82" t="s">
        <v>3</v>
      </c>
      <c r="BP11" s="83" t="s">
        <v>4</v>
      </c>
      <c r="BQ11" s="43" t="s">
        <v>192</v>
      </c>
      <c r="BR11" s="95" t="str">
        <f>VLOOKUP(BQ11,SU,2,FALSE)</f>
        <v>СУ-25</v>
      </c>
      <c r="BS11" s="95"/>
      <c r="BT11" s="96"/>
      <c r="BU11" s="43" t="s">
        <v>193</v>
      </c>
      <c r="BV11" s="95" t="str">
        <f>VLOOKUP(BU11,SU,2,FALSE)</f>
        <v>СУ-26</v>
      </c>
      <c r="BW11" s="95"/>
      <c r="BX11" s="96"/>
      <c r="BY11" s="43" t="s">
        <v>194</v>
      </c>
      <c r="BZ11" s="95" t="str">
        <f>VLOOKUP(BY11,SU,2,FALSE)</f>
        <v>СУ-27</v>
      </c>
      <c r="CA11" s="95"/>
      <c r="CB11" s="96"/>
      <c r="CC11" s="82" t="s">
        <v>111</v>
      </c>
      <c r="CD11" s="82" t="s">
        <v>1</v>
      </c>
      <c r="CE11" s="82" t="s">
        <v>3</v>
      </c>
      <c r="CF11" s="83" t="s">
        <v>4</v>
      </c>
      <c r="CG11" s="43" t="s">
        <v>195</v>
      </c>
      <c r="CH11" s="95" t="str">
        <f>VLOOKUP(CG11,SU,2,FALSE)</f>
        <v>СУ-28</v>
      </c>
      <c r="CI11" s="95"/>
      <c r="CJ11" s="96"/>
      <c r="CK11" s="43" t="s">
        <v>196</v>
      </c>
      <c r="CL11" s="95" t="str">
        <f>VLOOKUP(CK11,SU,2,FALSE)</f>
        <v>СУ-29</v>
      </c>
      <c r="CM11" s="95"/>
      <c r="CN11" s="96"/>
      <c r="CO11" s="43" t="s">
        <v>197</v>
      </c>
      <c r="CP11" s="95" t="str">
        <f>VLOOKUP(CO11,SU,2,FALSE)</f>
        <v>СУ-30</v>
      </c>
      <c r="CQ11" s="95"/>
      <c r="CR11" s="96"/>
    </row>
    <row r="12" spans="1:96" s="29" customFormat="1" ht="25.5" x14ac:dyDescent="0.25">
      <c r="A12" s="82"/>
      <c r="B12" s="82"/>
      <c r="C12" s="82"/>
      <c r="D12" s="83"/>
      <c r="E12" s="58" t="s">
        <v>112</v>
      </c>
      <c r="F12" s="57" t="s">
        <v>152</v>
      </c>
      <c r="G12" s="58" t="s">
        <v>113</v>
      </c>
      <c r="H12" s="58" t="s">
        <v>114</v>
      </c>
      <c r="I12" s="66"/>
      <c r="J12" s="67"/>
      <c r="K12" s="68"/>
      <c r="L12" s="68"/>
      <c r="M12" s="68"/>
      <c r="N12" s="67"/>
      <c r="O12" s="68"/>
      <c r="P12" s="68"/>
      <c r="Q12" s="82"/>
      <c r="R12" s="82"/>
      <c r="S12" s="82"/>
      <c r="T12" s="83"/>
      <c r="U12" s="30" t="s">
        <v>112</v>
      </c>
      <c r="V12" s="31" t="s">
        <v>152</v>
      </c>
      <c r="W12" s="30" t="s">
        <v>113</v>
      </c>
      <c r="X12" s="30" t="s">
        <v>114</v>
      </c>
      <c r="Y12" s="30" t="s">
        <v>112</v>
      </c>
      <c r="Z12" s="31" t="s">
        <v>152</v>
      </c>
      <c r="AA12" s="30" t="s">
        <v>113</v>
      </c>
      <c r="AB12" s="30" t="s">
        <v>114</v>
      </c>
      <c r="AC12" s="30" t="s">
        <v>112</v>
      </c>
      <c r="AD12" s="31" t="s">
        <v>152</v>
      </c>
      <c r="AE12" s="30" t="s">
        <v>113</v>
      </c>
      <c r="AF12" s="30" t="s">
        <v>114</v>
      </c>
      <c r="AG12" s="82"/>
      <c r="AH12" s="82"/>
      <c r="AI12" s="82"/>
      <c r="AJ12" s="83"/>
      <c r="AK12" s="51" t="s">
        <v>112</v>
      </c>
      <c r="AL12" s="50" t="s">
        <v>152</v>
      </c>
      <c r="AM12" s="51" t="s">
        <v>113</v>
      </c>
      <c r="AN12" s="51" t="s">
        <v>114</v>
      </c>
      <c r="AO12" s="51" t="s">
        <v>112</v>
      </c>
      <c r="AP12" s="50" t="s">
        <v>152</v>
      </c>
      <c r="AQ12" s="51" t="s">
        <v>113</v>
      </c>
      <c r="AR12" s="51" t="s">
        <v>114</v>
      </c>
      <c r="AS12" s="51" t="s">
        <v>112</v>
      </c>
      <c r="AT12" s="50" t="s">
        <v>152</v>
      </c>
      <c r="AU12" s="51" t="s">
        <v>113</v>
      </c>
      <c r="AV12" s="51" t="s">
        <v>114</v>
      </c>
      <c r="AW12" s="82"/>
      <c r="AX12" s="82"/>
      <c r="AY12" s="82"/>
      <c r="AZ12" s="83"/>
      <c r="BA12" s="51" t="s">
        <v>112</v>
      </c>
      <c r="BB12" s="50" t="s">
        <v>152</v>
      </c>
      <c r="BC12" s="51" t="s">
        <v>113</v>
      </c>
      <c r="BD12" s="51" t="s">
        <v>114</v>
      </c>
      <c r="BE12" s="51" t="s">
        <v>112</v>
      </c>
      <c r="BF12" s="50" t="s">
        <v>152</v>
      </c>
      <c r="BG12" s="51" t="s">
        <v>113</v>
      </c>
      <c r="BH12" s="51" t="s">
        <v>114</v>
      </c>
      <c r="BI12" s="51" t="s">
        <v>112</v>
      </c>
      <c r="BJ12" s="50" t="s">
        <v>152</v>
      </c>
      <c r="BK12" s="51" t="s">
        <v>113</v>
      </c>
      <c r="BL12" s="51" t="s">
        <v>114</v>
      </c>
      <c r="BM12" s="82"/>
      <c r="BN12" s="82"/>
      <c r="BO12" s="82"/>
      <c r="BP12" s="83"/>
      <c r="BQ12" s="51" t="s">
        <v>112</v>
      </c>
      <c r="BR12" s="50" t="s">
        <v>152</v>
      </c>
      <c r="BS12" s="51" t="s">
        <v>113</v>
      </c>
      <c r="BT12" s="51" t="s">
        <v>114</v>
      </c>
      <c r="BU12" s="51" t="s">
        <v>112</v>
      </c>
      <c r="BV12" s="50" t="s">
        <v>152</v>
      </c>
      <c r="BW12" s="51" t="s">
        <v>113</v>
      </c>
      <c r="BX12" s="51" t="s">
        <v>114</v>
      </c>
      <c r="BY12" s="51" t="s">
        <v>112</v>
      </c>
      <c r="BZ12" s="50" t="s">
        <v>152</v>
      </c>
      <c r="CA12" s="51" t="s">
        <v>113</v>
      </c>
      <c r="CB12" s="51" t="s">
        <v>114</v>
      </c>
      <c r="CC12" s="82"/>
      <c r="CD12" s="82"/>
      <c r="CE12" s="82"/>
      <c r="CF12" s="83"/>
      <c r="CG12" s="51" t="s">
        <v>112</v>
      </c>
      <c r="CH12" s="50" t="s">
        <v>152</v>
      </c>
      <c r="CI12" s="51" t="s">
        <v>113</v>
      </c>
      <c r="CJ12" s="51" t="s">
        <v>114</v>
      </c>
      <c r="CK12" s="51" t="s">
        <v>112</v>
      </c>
      <c r="CL12" s="50" t="s">
        <v>152</v>
      </c>
      <c r="CM12" s="51" t="s">
        <v>113</v>
      </c>
      <c r="CN12" s="51" t="s">
        <v>114</v>
      </c>
      <c r="CO12" s="51" t="s">
        <v>112</v>
      </c>
      <c r="CP12" s="50" t="s">
        <v>152</v>
      </c>
      <c r="CQ12" s="51" t="s">
        <v>113</v>
      </c>
      <c r="CR12" s="51" t="s">
        <v>114</v>
      </c>
    </row>
    <row r="13" spans="1:96" s="6" customFormat="1" ht="18.75" x14ac:dyDescent="0.25">
      <c r="A13" s="25">
        <v>1</v>
      </c>
      <c r="B13" s="11" t="e">
        <f t="shared" ref="B13:B27" si="0">VLOOKUP($A13,TAB,2,FALSE)</f>
        <v>#N/A</v>
      </c>
      <c r="C13" s="11" t="e">
        <f t="shared" ref="C13:C27" si="1">VLOOKUP($A13,TAB,4,FALSE)</f>
        <v>#N/A</v>
      </c>
      <c r="D13" s="11" t="e">
        <f t="shared" ref="D13:D27" si="2">VLOOKUP($A13,TAB,5,FALSE)</f>
        <v>#N/A</v>
      </c>
      <c r="E13" s="15" t="e">
        <f t="shared" ref="E13:E27" si="3">VLOOKUP($A13,TAB,8,FALSE)</f>
        <v>#N/A</v>
      </c>
      <c r="F13" s="26"/>
      <c r="G13" s="26" t="e">
        <f t="shared" ref="G13:G27" si="4">VLOOKUP($A13,TAB,70,FALSE)</f>
        <v>#N/A</v>
      </c>
      <c r="H13" s="26" t="e">
        <f t="shared" ref="H13:H27" si="5">VLOOKUP($A13,TAB,101,FALSE)</f>
        <v>#N/A</v>
      </c>
      <c r="I13" s="69"/>
      <c r="J13" s="70"/>
      <c r="K13" s="70"/>
      <c r="L13" s="70"/>
      <c r="M13" s="71"/>
      <c r="N13" s="70"/>
      <c r="O13" s="70"/>
      <c r="P13" s="70"/>
      <c r="Q13" s="25">
        <v>1</v>
      </c>
      <c r="R13" s="11" t="e">
        <f t="shared" ref="R13:R27" si="6">VLOOKUP($Q13,TAB,2,FALSE)</f>
        <v>#N/A</v>
      </c>
      <c r="S13" s="11" t="e">
        <f t="shared" ref="S13:S27" si="7">VLOOKUP($Q13,TAB,4,FALSE)</f>
        <v>#N/A</v>
      </c>
      <c r="T13" s="11" t="e">
        <f t="shared" ref="T13:T27" si="8">VLOOKUP($Q13,TAB,5,FALSE)</f>
        <v>#N/A</v>
      </c>
      <c r="U13" s="15" t="e">
        <f t="shared" ref="U13:U27" si="9">VLOOKUP($Q13,TAB,24,FALSE)</f>
        <v>#N/A</v>
      </c>
      <c r="V13" s="26" t="e">
        <f t="shared" ref="V13:V27" si="10">VLOOKUP($Q13,TAB,54,FALSE)</f>
        <v>#N/A</v>
      </c>
      <c r="W13" s="26" t="e">
        <f t="shared" ref="W13:W27" si="11">VLOOKUP($Q13,TAB,86,FALSE)</f>
        <v>#N/A</v>
      </c>
      <c r="X13" s="26" t="e">
        <f t="shared" ref="X13:X27" si="12">VLOOKUP($Q13,TAB,117,FALSE)</f>
        <v>#N/A</v>
      </c>
      <c r="Y13" s="15" t="e">
        <f t="shared" ref="Y13:Y27" si="13">VLOOKUP($Q13,TAB,25,FALSE)</f>
        <v>#N/A</v>
      </c>
      <c r="Z13" s="26" t="e">
        <f t="shared" ref="Z13:Z27" si="14">VLOOKUP($Q13,TAB,55,FALSE)</f>
        <v>#N/A</v>
      </c>
      <c r="AA13" s="26" t="e">
        <f t="shared" ref="AA13:AA27" si="15">VLOOKUP($Q13,TAB,87,FALSE)</f>
        <v>#N/A</v>
      </c>
      <c r="AB13" s="26" t="e">
        <f t="shared" ref="AB13:AB27" si="16">VLOOKUP($Q13,TAB,118,FALSE)</f>
        <v>#N/A</v>
      </c>
      <c r="AC13" s="15" t="e">
        <f t="shared" ref="AC13:AC27" si="17">VLOOKUP($Q13,TAB,26,FALSE)</f>
        <v>#N/A</v>
      </c>
      <c r="AD13" s="26" t="e">
        <f t="shared" ref="AD13:AD27" si="18">VLOOKUP($Q13,TAB,56,FALSE)</f>
        <v>#N/A</v>
      </c>
      <c r="AE13" s="26" t="e">
        <f t="shared" ref="AE13:AE27" si="19">VLOOKUP($Q13,TAB,88,FALSE)</f>
        <v>#N/A</v>
      </c>
      <c r="AF13" s="26" t="e">
        <f t="shared" ref="AF13:AF27" si="20">VLOOKUP($Q13,TAB,119,FALSE)</f>
        <v>#N/A</v>
      </c>
      <c r="AG13" s="25">
        <v>1</v>
      </c>
      <c r="AH13" s="11" t="e">
        <f>VLOOKUP($AG13,TAB,2,FALSE)</f>
        <v>#N/A</v>
      </c>
      <c r="AI13" s="11" t="e">
        <f t="shared" ref="AI13:AI27" si="21">VLOOKUP($AG13,TAB,4,FALSE)</f>
        <v>#N/A</v>
      </c>
      <c r="AJ13" s="11" t="e">
        <f t="shared" ref="AJ13:AJ27" si="22">VLOOKUP($AG13,TAB,3,FALSE)</f>
        <v>#N/A</v>
      </c>
      <c r="AK13" s="15" t="e">
        <f t="shared" ref="AK13:AK27" si="23">VLOOKUP($AG13,TAB,27,FALSE)</f>
        <v>#N/A</v>
      </c>
      <c r="AL13" s="26" t="e">
        <f t="shared" ref="AL13:AL27" si="24">VLOOKUP($AG13,TAB,57,FALSE)</f>
        <v>#N/A</v>
      </c>
      <c r="AM13" s="26" t="e">
        <f t="shared" ref="AM13:AM27" si="25">VLOOKUP($AG13,TAB,89,FALSE)</f>
        <v>#N/A</v>
      </c>
      <c r="AN13" s="26" t="e">
        <f t="shared" ref="AN13:AN27" si="26">VLOOKUP($AG13,TAB,120,FALSE)</f>
        <v>#N/A</v>
      </c>
      <c r="AO13" s="15" t="e">
        <f t="shared" ref="AO13:AO27" si="27">VLOOKUP($AG13,TAB,28,FALSE)</f>
        <v>#N/A</v>
      </c>
      <c r="AP13" s="26" t="e">
        <f t="shared" ref="AP13:AP27" si="28">VLOOKUP($AG13,TAB,58,FALSE)</f>
        <v>#N/A</v>
      </c>
      <c r="AQ13" s="26" t="e">
        <f t="shared" ref="AQ13:AQ27" si="29">VLOOKUP($AG13,TAB,90,FALSE)</f>
        <v>#N/A</v>
      </c>
      <c r="AR13" s="26" t="e">
        <f t="shared" ref="AR13:AR27" si="30">VLOOKUP($AG13,TAB,121,FALSE)</f>
        <v>#N/A</v>
      </c>
      <c r="AS13" s="15" t="e">
        <f t="shared" ref="AS13:AS27" si="31">VLOOKUP($AG13,TAB,29,FALSE)</f>
        <v>#N/A</v>
      </c>
      <c r="AT13" s="26" t="e">
        <f t="shared" ref="AT13:AT27" si="32">VLOOKUP($AG13,TAB,59,FALSE)</f>
        <v>#N/A</v>
      </c>
      <c r="AU13" s="26" t="e">
        <f t="shared" ref="AU13:AU27" si="33">VLOOKUP($AG13,TAB,90,FALSE)</f>
        <v>#N/A</v>
      </c>
      <c r="AV13" s="26" t="e">
        <f t="shared" ref="AV13:AV27" si="34">VLOOKUP($AG13,TAB,122,FALSE)</f>
        <v>#N/A</v>
      </c>
      <c r="AW13" s="25">
        <v>1</v>
      </c>
      <c r="AX13" s="11" t="e">
        <f t="shared" ref="AX13:AX27" si="35">VLOOKUP($AW13,TAB,2,FALSE)</f>
        <v>#N/A</v>
      </c>
      <c r="AY13" s="11" t="e">
        <f t="shared" ref="AY13:AY27" si="36">VLOOKUP($AW13,TAB,4,FALSE)</f>
        <v>#N/A</v>
      </c>
      <c r="AZ13" s="11" t="e">
        <f t="shared" ref="AZ13:AZ27" si="37">VLOOKUP($AW13,TAB,5,FALSE)</f>
        <v>#N/A</v>
      </c>
      <c r="BA13" s="15" t="e">
        <f t="shared" ref="BA13:BA27" si="38">VLOOKUP($AW13,TAB,30,FALSE)</f>
        <v>#N/A</v>
      </c>
      <c r="BB13" s="26" t="e">
        <f t="shared" ref="BB13:BB27" si="39">VLOOKUP($AW13,TAB,60,FALSE)</f>
        <v>#N/A</v>
      </c>
      <c r="BC13" s="26" t="e">
        <f t="shared" ref="BC13:BC27" si="40">VLOOKUP($AW13,TAB,92,FALSE)</f>
        <v>#N/A</v>
      </c>
      <c r="BD13" s="26" t="e">
        <f t="shared" ref="BD13:BD27" si="41">VLOOKUP($AW13,TAB,123,FALSE)</f>
        <v>#N/A</v>
      </c>
      <c r="BE13" s="15" t="e">
        <f t="shared" ref="BE13:BE27" si="42">VLOOKUP($AW13,TAB,31,FALSE)</f>
        <v>#N/A</v>
      </c>
      <c r="BF13" s="26" t="e">
        <f t="shared" ref="BF13:BF27" si="43">VLOOKUP($AW13,TAB,61,FALSE)</f>
        <v>#N/A</v>
      </c>
      <c r="BG13" s="26" t="e">
        <f t="shared" ref="BG13:BG27" si="44">VLOOKUP($AW13,TAB,93,FALSE)</f>
        <v>#N/A</v>
      </c>
      <c r="BH13" s="26" t="e">
        <f t="shared" ref="BH13:BH27" si="45">VLOOKUP($AW13,TAB,124,FALSE)</f>
        <v>#N/A</v>
      </c>
      <c r="BI13" s="15" t="e">
        <f t="shared" ref="BI13:BI27" si="46">VLOOKUP($AW13,TAB,32,FALSE)</f>
        <v>#N/A</v>
      </c>
      <c r="BJ13" s="26" t="e">
        <f t="shared" ref="BJ13:BJ27" si="47">VLOOKUP($AW13,TAB,62,FALSE)</f>
        <v>#N/A</v>
      </c>
      <c r="BK13" s="26" t="e">
        <f t="shared" ref="BK13:BK27" si="48">VLOOKUP($AW13,TAB,94,FALSE)</f>
        <v>#N/A</v>
      </c>
      <c r="BL13" s="26" t="e">
        <f t="shared" ref="BL13:BL27" si="49">VLOOKUP($AW13,TAB,125,FALSE)</f>
        <v>#N/A</v>
      </c>
      <c r="BM13" s="25">
        <v>1</v>
      </c>
      <c r="BN13" s="11" t="e">
        <f t="shared" ref="BN13:BN27" si="50">VLOOKUP($BM13,TAB,2,FALSE)</f>
        <v>#N/A</v>
      </c>
      <c r="BO13" s="11" t="e">
        <f t="shared" ref="BO13:BO27" si="51">VLOOKUP($BM13,TAB,4,FALSE)</f>
        <v>#N/A</v>
      </c>
      <c r="BP13" s="11" t="e">
        <f t="shared" ref="BP13:BP27" si="52">VLOOKUP($BM13,TAB,5,FALSE)</f>
        <v>#N/A</v>
      </c>
      <c r="BQ13" s="15" t="e">
        <f t="shared" ref="BQ13:BQ27" si="53">VLOOKUP($BM13,TAB,33,FALSE)</f>
        <v>#N/A</v>
      </c>
      <c r="BR13" s="26" t="e">
        <f t="shared" ref="BR13:BR27" si="54">VLOOKUP($BM13,TAB,63,FALSE)</f>
        <v>#N/A</v>
      </c>
      <c r="BS13" s="26" t="e">
        <f t="shared" ref="BS13:BS27" si="55">VLOOKUP($BM13,TAB,95,FALSE)</f>
        <v>#N/A</v>
      </c>
      <c r="BT13" s="26" t="e">
        <f t="shared" ref="BT13:BT27" si="56">VLOOKUP($BM13,TAB,126,FALSE)</f>
        <v>#N/A</v>
      </c>
      <c r="BU13" s="15" t="e">
        <f t="shared" ref="BU13:BU27" si="57">VLOOKUP($BM13,TAB,34,FALSE)</f>
        <v>#N/A</v>
      </c>
      <c r="BV13" s="26" t="e">
        <f t="shared" ref="BV13:BV27" si="58">VLOOKUP($BM13,TAB,64,FALSE)</f>
        <v>#N/A</v>
      </c>
      <c r="BW13" s="26" t="e">
        <f t="shared" ref="BW13:BW27" si="59">VLOOKUP($BM13,TAB,96,FALSE)</f>
        <v>#N/A</v>
      </c>
      <c r="BX13" s="26" t="e">
        <f t="shared" ref="BX13:BX27" si="60">VLOOKUP($BM13,TAB,127,FALSE)</f>
        <v>#N/A</v>
      </c>
      <c r="BY13" s="15" t="e">
        <f t="shared" ref="BY13:BY27" si="61">VLOOKUP($BM13,TAB,35,FALSE)</f>
        <v>#N/A</v>
      </c>
      <c r="BZ13" s="26" t="e">
        <f t="shared" ref="BZ13:BZ27" si="62">VLOOKUP($BM13,TAB,65,FALSE)</f>
        <v>#N/A</v>
      </c>
      <c r="CA13" s="26" t="e">
        <f t="shared" ref="CA13:CA27" si="63">VLOOKUP($BM13,TAB,97,FALSE)</f>
        <v>#N/A</v>
      </c>
      <c r="CB13" s="26" t="e">
        <f t="shared" ref="CB13:CB27" si="64">VLOOKUP($BM13,TAB,128,FALSE)</f>
        <v>#N/A</v>
      </c>
      <c r="CC13" s="25">
        <v>1</v>
      </c>
      <c r="CD13" s="11" t="e">
        <f t="shared" ref="CD13:CD27" si="65">VLOOKUP($CC13,TAB,2,FALSE)</f>
        <v>#N/A</v>
      </c>
      <c r="CE13" s="11" t="e">
        <f t="shared" ref="CE13:CE27" si="66">VLOOKUP($CC13,TAB,4,FALSE)</f>
        <v>#N/A</v>
      </c>
      <c r="CF13" s="11" t="e">
        <f t="shared" ref="CF13:CF27" si="67">VLOOKUP($CC13,TAB,5,FALSE)</f>
        <v>#N/A</v>
      </c>
      <c r="CG13" s="15" t="e">
        <f t="shared" ref="CG13:CG27" si="68">VLOOKUP($CC13,TAB,36,FALSE)</f>
        <v>#N/A</v>
      </c>
      <c r="CH13" s="26" t="e">
        <f t="shared" ref="CH13:CH27" si="69">VLOOKUP($CC13,TAB,66,FALSE)</f>
        <v>#N/A</v>
      </c>
      <c r="CI13" s="26" t="e">
        <f t="shared" ref="CI13:CI27" si="70">VLOOKUP($CC13,TAB,98,FALSE)</f>
        <v>#N/A</v>
      </c>
      <c r="CJ13" s="26" t="e">
        <f t="shared" ref="CJ13:CJ27" si="71">VLOOKUP($CC13,TAB,129,FALSE)</f>
        <v>#N/A</v>
      </c>
      <c r="CK13" s="15" t="e">
        <f t="shared" ref="CK13:CK27" si="72">VLOOKUP($CC13,TAB,37,FALSE)</f>
        <v>#N/A</v>
      </c>
      <c r="CL13" s="26" t="e">
        <f t="shared" ref="CL13:CL27" si="73">VLOOKUP($CC13,TAB,67,FALSE)</f>
        <v>#N/A</v>
      </c>
      <c r="CM13" s="26" t="e">
        <f t="shared" ref="CM13:CM27" si="74">VLOOKUP($CC13,TAB,99,FALSE)</f>
        <v>#N/A</v>
      </c>
      <c r="CN13" s="26" t="e">
        <f t="shared" ref="CN13:CN27" si="75">VLOOKUP($CC13,TAB,130,FALSE)</f>
        <v>#N/A</v>
      </c>
      <c r="CO13" s="15" t="e">
        <f t="shared" ref="CO13:CO27" si="76">VLOOKUP($CC13,TAB,38,FALSE)</f>
        <v>#N/A</v>
      </c>
      <c r="CP13" s="26" t="e">
        <f t="shared" ref="CP13:CP27" si="77">VLOOKUP($CC13,TAB,68,FALSE)</f>
        <v>#N/A</v>
      </c>
      <c r="CQ13" s="26" t="e">
        <f t="shared" ref="CQ13:CQ27" si="78">VLOOKUP($CC13,TAB,100,FALSE)</f>
        <v>#N/A</v>
      </c>
      <c r="CR13" s="26" t="e">
        <f t="shared" ref="CR13:CR27" si="79">VLOOKUP($CC13,TAB,131,FALSE)</f>
        <v>#N/A</v>
      </c>
    </row>
    <row r="14" spans="1:96" s="6" customFormat="1" ht="18.75" x14ac:dyDescent="0.25">
      <c r="A14" s="25">
        <v>2</v>
      </c>
      <c r="B14" s="11" t="e">
        <f t="shared" si="0"/>
        <v>#N/A</v>
      </c>
      <c r="C14" s="11" t="e">
        <f t="shared" si="1"/>
        <v>#N/A</v>
      </c>
      <c r="D14" s="11" t="e">
        <f t="shared" si="2"/>
        <v>#N/A</v>
      </c>
      <c r="E14" s="15" t="e">
        <f t="shared" si="3"/>
        <v>#N/A</v>
      </c>
      <c r="F14" s="26"/>
      <c r="G14" s="26" t="e">
        <f t="shared" si="4"/>
        <v>#N/A</v>
      </c>
      <c r="H14" s="26" t="e">
        <f t="shared" si="5"/>
        <v>#N/A</v>
      </c>
      <c r="I14" s="69"/>
      <c r="J14" s="70"/>
      <c r="K14" s="70"/>
      <c r="L14" s="70"/>
      <c r="M14" s="71"/>
      <c r="N14" s="70"/>
      <c r="O14" s="70"/>
      <c r="P14" s="70"/>
      <c r="Q14" s="25">
        <v>2</v>
      </c>
      <c r="R14" s="11" t="e">
        <f t="shared" si="6"/>
        <v>#N/A</v>
      </c>
      <c r="S14" s="11" t="e">
        <f t="shared" si="7"/>
        <v>#N/A</v>
      </c>
      <c r="T14" s="11" t="e">
        <f t="shared" si="8"/>
        <v>#N/A</v>
      </c>
      <c r="U14" s="15" t="e">
        <f t="shared" si="9"/>
        <v>#N/A</v>
      </c>
      <c r="V14" s="26" t="e">
        <f t="shared" si="10"/>
        <v>#N/A</v>
      </c>
      <c r="W14" s="26" t="e">
        <f t="shared" si="11"/>
        <v>#N/A</v>
      </c>
      <c r="X14" s="26" t="e">
        <f t="shared" si="12"/>
        <v>#N/A</v>
      </c>
      <c r="Y14" s="15" t="e">
        <f t="shared" si="13"/>
        <v>#N/A</v>
      </c>
      <c r="Z14" s="26" t="e">
        <f t="shared" si="14"/>
        <v>#N/A</v>
      </c>
      <c r="AA14" s="26" t="e">
        <f t="shared" si="15"/>
        <v>#N/A</v>
      </c>
      <c r="AB14" s="26" t="e">
        <f t="shared" si="16"/>
        <v>#N/A</v>
      </c>
      <c r="AC14" s="15" t="e">
        <f t="shared" si="17"/>
        <v>#N/A</v>
      </c>
      <c r="AD14" s="26" t="e">
        <f t="shared" si="18"/>
        <v>#N/A</v>
      </c>
      <c r="AE14" s="26" t="e">
        <f t="shared" si="19"/>
        <v>#N/A</v>
      </c>
      <c r="AF14" s="26" t="e">
        <f t="shared" si="20"/>
        <v>#N/A</v>
      </c>
      <c r="AG14" s="25">
        <v>2</v>
      </c>
      <c r="AH14" s="11" t="e">
        <f t="shared" ref="AH14:AH27" si="80">VLOOKUP($AG14,TAB,2,FALSE)</f>
        <v>#N/A</v>
      </c>
      <c r="AI14" s="11" t="e">
        <f t="shared" si="21"/>
        <v>#N/A</v>
      </c>
      <c r="AJ14" s="11" t="e">
        <f t="shared" si="22"/>
        <v>#N/A</v>
      </c>
      <c r="AK14" s="15" t="e">
        <f t="shared" si="23"/>
        <v>#N/A</v>
      </c>
      <c r="AL14" s="26" t="e">
        <f t="shared" si="24"/>
        <v>#N/A</v>
      </c>
      <c r="AM14" s="26" t="e">
        <f t="shared" si="25"/>
        <v>#N/A</v>
      </c>
      <c r="AN14" s="26" t="e">
        <f t="shared" si="26"/>
        <v>#N/A</v>
      </c>
      <c r="AO14" s="15" t="e">
        <f t="shared" si="27"/>
        <v>#N/A</v>
      </c>
      <c r="AP14" s="26" t="e">
        <f t="shared" si="28"/>
        <v>#N/A</v>
      </c>
      <c r="AQ14" s="26" t="e">
        <f t="shared" si="29"/>
        <v>#N/A</v>
      </c>
      <c r="AR14" s="26" t="e">
        <f t="shared" si="30"/>
        <v>#N/A</v>
      </c>
      <c r="AS14" s="15" t="e">
        <f t="shared" si="31"/>
        <v>#N/A</v>
      </c>
      <c r="AT14" s="26" t="e">
        <f t="shared" si="32"/>
        <v>#N/A</v>
      </c>
      <c r="AU14" s="26" t="e">
        <f t="shared" si="33"/>
        <v>#N/A</v>
      </c>
      <c r="AV14" s="26" t="e">
        <f t="shared" si="34"/>
        <v>#N/A</v>
      </c>
      <c r="AW14" s="25">
        <v>2</v>
      </c>
      <c r="AX14" s="11" t="e">
        <f t="shared" si="35"/>
        <v>#N/A</v>
      </c>
      <c r="AY14" s="11" t="e">
        <f t="shared" si="36"/>
        <v>#N/A</v>
      </c>
      <c r="AZ14" s="11" t="e">
        <f t="shared" si="37"/>
        <v>#N/A</v>
      </c>
      <c r="BA14" s="15" t="e">
        <f t="shared" si="38"/>
        <v>#N/A</v>
      </c>
      <c r="BB14" s="26" t="e">
        <f t="shared" si="39"/>
        <v>#N/A</v>
      </c>
      <c r="BC14" s="26" t="e">
        <f t="shared" si="40"/>
        <v>#N/A</v>
      </c>
      <c r="BD14" s="26" t="e">
        <f t="shared" si="41"/>
        <v>#N/A</v>
      </c>
      <c r="BE14" s="15" t="e">
        <f t="shared" si="42"/>
        <v>#N/A</v>
      </c>
      <c r="BF14" s="26" t="e">
        <f t="shared" si="43"/>
        <v>#N/A</v>
      </c>
      <c r="BG14" s="26" t="e">
        <f t="shared" si="44"/>
        <v>#N/A</v>
      </c>
      <c r="BH14" s="26" t="e">
        <f t="shared" si="45"/>
        <v>#N/A</v>
      </c>
      <c r="BI14" s="15" t="e">
        <f t="shared" si="46"/>
        <v>#N/A</v>
      </c>
      <c r="BJ14" s="26" t="e">
        <f t="shared" si="47"/>
        <v>#N/A</v>
      </c>
      <c r="BK14" s="26" t="e">
        <f t="shared" si="48"/>
        <v>#N/A</v>
      </c>
      <c r="BL14" s="26" t="e">
        <f t="shared" si="49"/>
        <v>#N/A</v>
      </c>
      <c r="BM14" s="25">
        <v>2</v>
      </c>
      <c r="BN14" s="11" t="e">
        <f t="shared" si="50"/>
        <v>#N/A</v>
      </c>
      <c r="BO14" s="11" t="e">
        <f t="shared" si="51"/>
        <v>#N/A</v>
      </c>
      <c r="BP14" s="11" t="e">
        <f t="shared" si="52"/>
        <v>#N/A</v>
      </c>
      <c r="BQ14" s="15" t="e">
        <f t="shared" si="53"/>
        <v>#N/A</v>
      </c>
      <c r="BR14" s="26" t="e">
        <f t="shared" si="54"/>
        <v>#N/A</v>
      </c>
      <c r="BS14" s="26" t="e">
        <f t="shared" si="55"/>
        <v>#N/A</v>
      </c>
      <c r="BT14" s="26" t="e">
        <f t="shared" si="56"/>
        <v>#N/A</v>
      </c>
      <c r="BU14" s="15" t="e">
        <f t="shared" si="57"/>
        <v>#N/A</v>
      </c>
      <c r="BV14" s="26" t="e">
        <f t="shared" si="58"/>
        <v>#N/A</v>
      </c>
      <c r="BW14" s="26" t="e">
        <f t="shared" si="59"/>
        <v>#N/A</v>
      </c>
      <c r="BX14" s="26" t="e">
        <f t="shared" si="60"/>
        <v>#N/A</v>
      </c>
      <c r="BY14" s="15" t="e">
        <f t="shared" si="61"/>
        <v>#N/A</v>
      </c>
      <c r="BZ14" s="26" t="e">
        <f t="shared" si="62"/>
        <v>#N/A</v>
      </c>
      <c r="CA14" s="26" t="e">
        <f t="shared" si="63"/>
        <v>#N/A</v>
      </c>
      <c r="CB14" s="26" t="e">
        <f t="shared" si="64"/>
        <v>#N/A</v>
      </c>
      <c r="CC14" s="25">
        <v>2</v>
      </c>
      <c r="CD14" s="11" t="e">
        <f t="shared" si="65"/>
        <v>#N/A</v>
      </c>
      <c r="CE14" s="11" t="e">
        <f t="shared" si="66"/>
        <v>#N/A</v>
      </c>
      <c r="CF14" s="11" t="e">
        <f t="shared" si="67"/>
        <v>#N/A</v>
      </c>
      <c r="CG14" s="15" t="e">
        <f t="shared" si="68"/>
        <v>#N/A</v>
      </c>
      <c r="CH14" s="26" t="e">
        <f t="shared" si="69"/>
        <v>#N/A</v>
      </c>
      <c r="CI14" s="26" t="e">
        <f t="shared" si="70"/>
        <v>#N/A</v>
      </c>
      <c r="CJ14" s="26" t="e">
        <f t="shared" si="71"/>
        <v>#N/A</v>
      </c>
      <c r="CK14" s="15" t="e">
        <f t="shared" si="72"/>
        <v>#N/A</v>
      </c>
      <c r="CL14" s="26" t="e">
        <f t="shared" si="73"/>
        <v>#N/A</v>
      </c>
      <c r="CM14" s="26" t="e">
        <f t="shared" si="74"/>
        <v>#N/A</v>
      </c>
      <c r="CN14" s="26" t="e">
        <f t="shared" si="75"/>
        <v>#N/A</v>
      </c>
      <c r="CO14" s="15" t="e">
        <f t="shared" si="76"/>
        <v>#N/A</v>
      </c>
      <c r="CP14" s="26" t="e">
        <f t="shared" si="77"/>
        <v>#N/A</v>
      </c>
      <c r="CQ14" s="26" t="e">
        <f t="shared" si="78"/>
        <v>#N/A</v>
      </c>
      <c r="CR14" s="26" t="e">
        <f t="shared" si="79"/>
        <v>#N/A</v>
      </c>
    </row>
    <row r="15" spans="1:96" s="6" customFormat="1" ht="18.75" x14ac:dyDescent="0.25">
      <c r="A15" s="25">
        <v>3</v>
      </c>
      <c r="B15" s="11" t="e">
        <f t="shared" si="0"/>
        <v>#N/A</v>
      </c>
      <c r="C15" s="11" t="e">
        <f t="shared" si="1"/>
        <v>#N/A</v>
      </c>
      <c r="D15" s="11" t="e">
        <f t="shared" si="2"/>
        <v>#N/A</v>
      </c>
      <c r="E15" s="15" t="e">
        <f t="shared" si="3"/>
        <v>#N/A</v>
      </c>
      <c r="F15" s="26"/>
      <c r="G15" s="26" t="e">
        <f t="shared" si="4"/>
        <v>#N/A</v>
      </c>
      <c r="H15" s="26" t="e">
        <f t="shared" si="5"/>
        <v>#N/A</v>
      </c>
      <c r="I15" s="69"/>
      <c r="J15" s="70"/>
      <c r="K15" s="70"/>
      <c r="L15" s="70"/>
      <c r="M15" s="71"/>
      <c r="N15" s="70"/>
      <c r="O15" s="70"/>
      <c r="P15" s="70"/>
      <c r="Q15" s="25">
        <v>3</v>
      </c>
      <c r="R15" s="11" t="e">
        <f t="shared" si="6"/>
        <v>#N/A</v>
      </c>
      <c r="S15" s="11" t="e">
        <f t="shared" si="7"/>
        <v>#N/A</v>
      </c>
      <c r="T15" s="11" t="e">
        <f t="shared" si="8"/>
        <v>#N/A</v>
      </c>
      <c r="U15" s="15" t="e">
        <f t="shared" si="9"/>
        <v>#N/A</v>
      </c>
      <c r="V15" s="26" t="e">
        <f t="shared" si="10"/>
        <v>#N/A</v>
      </c>
      <c r="W15" s="26" t="e">
        <f t="shared" si="11"/>
        <v>#N/A</v>
      </c>
      <c r="X15" s="26" t="e">
        <f t="shared" si="12"/>
        <v>#N/A</v>
      </c>
      <c r="Y15" s="15" t="e">
        <f t="shared" si="13"/>
        <v>#N/A</v>
      </c>
      <c r="Z15" s="26" t="e">
        <f t="shared" si="14"/>
        <v>#N/A</v>
      </c>
      <c r="AA15" s="26" t="e">
        <f t="shared" si="15"/>
        <v>#N/A</v>
      </c>
      <c r="AB15" s="26" t="e">
        <f t="shared" si="16"/>
        <v>#N/A</v>
      </c>
      <c r="AC15" s="15" t="e">
        <f t="shared" si="17"/>
        <v>#N/A</v>
      </c>
      <c r="AD15" s="26" t="e">
        <f t="shared" si="18"/>
        <v>#N/A</v>
      </c>
      <c r="AE15" s="26" t="e">
        <f t="shared" si="19"/>
        <v>#N/A</v>
      </c>
      <c r="AF15" s="26" t="e">
        <f t="shared" si="20"/>
        <v>#N/A</v>
      </c>
      <c r="AG15" s="25">
        <v>3</v>
      </c>
      <c r="AH15" s="11" t="e">
        <f t="shared" si="80"/>
        <v>#N/A</v>
      </c>
      <c r="AI15" s="11" t="e">
        <f t="shared" si="21"/>
        <v>#N/A</v>
      </c>
      <c r="AJ15" s="11" t="e">
        <f t="shared" si="22"/>
        <v>#N/A</v>
      </c>
      <c r="AK15" s="15" t="e">
        <f t="shared" si="23"/>
        <v>#N/A</v>
      </c>
      <c r="AL15" s="26" t="e">
        <f t="shared" si="24"/>
        <v>#N/A</v>
      </c>
      <c r="AM15" s="26" t="e">
        <f t="shared" si="25"/>
        <v>#N/A</v>
      </c>
      <c r="AN15" s="26" t="e">
        <f t="shared" si="26"/>
        <v>#N/A</v>
      </c>
      <c r="AO15" s="15" t="e">
        <f t="shared" si="27"/>
        <v>#N/A</v>
      </c>
      <c r="AP15" s="26" t="e">
        <f t="shared" si="28"/>
        <v>#N/A</v>
      </c>
      <c r="AQ15" s="26" t="e">
        <f t="shared" si="29"/>
        <v>#N/A</v>
      </c>
      <c r="AR15" s="26" t="e">
        <f t="shared" si="30"/>
        <v>#N/A</v>
      </c>
      <c r="AS15" s="15" t="e">
        <f t="shared" si="31"/>
        <v>#N/A</v>
      </c>
      <c r="AT15" s="26" t="e">
        <f t="shared" si="32"/>
        <v>#N/A</v>
      </c>
      <c r="AU15" s="26" t="e">
        <f t="shared" si="33"/>
        <v>#N/A</v>
      </c>
      <c r="AV15" s="26" t="e">
        <f t="shared" si="34"/>
        <v>#N/A</v>
      </c>
      <c r="AW15" s="25">
        <v>3</v>
      </c>
      <c r="AX15" s="11" t="e">
        <f t="shared" si="35"/>
        <v>#N/A</v>
      </c>
      <c r="AY15" s="11" t="e">
        <f t="shared" si="36"/>
        <v>#N/A</v>
      </c>
      <c r="AZ15" s="11" t="e">
        <f t="shared" si="37"/>
        <v>#N/A</v>
      </c>
      <c r="BA15" s="15" t="e">
        <f t="shared" si="38"/>
        <v>#N/A</v>
      </c>
      <c r="BB15" s="26" t="e">
        <f t="shared" si="39"/>
        <v>#N/A</v>
      </c>
      <c r="BC15" s="26" t="e">
        <f t="shared" si="40"/>
        <v>#N/A</v>
      </c>
      <c r="BD15" s="26" t="e">
        <f t="shared" si="41"/>
        <v>#N/A</v>
      </c>
      <c r="BE15" s="15" t="e">
        <f t="shared" si="42"/>
        <v>#N/A</v>
      </c>
      <c r="BF15" s="26" t="e">
        <f t="shared" si="43"/>
        <v>#N/A</v>
      </c>
      <c r="BG15" s="26" t="e">
        <f t="shared" si="44"/>
        <v>#N/A</v>
      </c>
      <c r="BH15" s="26" t="e">
        <f t="shared" si="45"/>
        <v>#N/A</v>
      </c>
      <c r="BI15" s="15" t="e">
        <f t="shared" si="46"/>
        <v>#N/A</v>
      </c>
      <c r="BJ15" s="26" t="e">
        <f t="shared" si="47"/>
        <v>#N/A</v>
      </c>
      <c r="BK15" s="26" t="e">
        <f t="shared" si="48"/>
        <v>#N/A</v>
      </c>
      <c r="BL15" s="26" t="e">
        <f t="shared" si="49"/>
        <v>#N/A</v>
      </c>
      <c r="BM15" s="25">
        <v>3</v>
      </c>
      <c r="BN15" s="11" t="e">
        <f t="shared" si="50"/>
        <v>#N/A</v>
      </c>
      <c r="BO15" s="11" t="e">
        <f t="shared" si="51"/>
        <v>#N/A</v>
      </c>
      <c r="BP15" s="11" t="e">
        <f t="shared" si="52"/>
        <v>#N/A</v>
      </c>
      <c r="BQ15" s="15" t="e">
        <f t="shared" si="53"/>
        <v>#N/A</v>
      </c>
      <c r="BR15" s="26" t="e">
        <f t="shared" si="54"/>
        <v>#N/A</v>
      </c>
      <c r="BS15" s="26" t="e">
        <f t="shared" si="55"/>
        <v>#N/A</v>
      </c>
      <c r="BT15" s="26" t="e">
        <f t="shared" si="56"/>
        <v>#N/A</v>
      </c>
      <c r="BU15" s="15" t="e">
        <f t="shared" si="57"/>
        <v>#N/A</v>
      </c>
      <c r="BV15" s="26" t="e">
        <f t="shared" si="58"/>
        <v>#N/A</v>
      </c>
      <c r="BW15" s="26" t="e">
        <f t="shared" si="59"/>
        <v>#N/A</v>
      </c>
      <c r="BX15" s="26" t="e">
        <f t="shared" si="60"/>
        <v>#N/A</v>
      </c>
      <c r="BY15" s="15" t="e">
        <f t="shared" si="61"/>
        <v>#N/A</v>
      </c>
      <c r="BZ15" s="26" t="e">
        <f t="shared" si="62"/>
        <v>#N/A</v>
      </c>
      <c r="CA15" s="26" t="e">
        <f t="shared" si="63"/>
        <v>#N/A</v>
      </c>
      <c r="CB15" s="26" t="e">
        <f t="shared" si="64"/>
        <v>#N/A</v>
      </c>
      <c r="CC15" s="25">
        <v>3</v>
      </c>
      <c r="CD15" s="11" t="e">
        <f t="shared" si="65"/>
        <v>#N/A</v>
      </c>
      <c r="CE15" s="11" t="e">
        <f t="shared" si="66"/>
        <v>#N/A</v>
      </c>
      <c r="CF15" s="11" t="e">
        <f t="shared" si="67"/>
        <v>#N/A</v>
      </c>
      <c r="CG15" s="15" t="e">
        <f t="shared" si="68"/>
        <v>#N/A</v>
      </c>
      <c r="CH15" s="26" t="e">
        <f t="shared" si="69"/>
        <v>#N/A</v>
      </c>
      <c r="CI15" s="26" t="e">
        <f t="shared" si="70"/>
        <v>#N/A</v>
      </c>
      <c r="CJ15" s="26" t="e">
        <f t="shared" si="71"/>
        <v>#N/A</v>
      </c>
      <c r="CK15" s="15" t="e">
        <f t="shared" si="72"/>
        <v>#N/A</v>
      </c>
      <c r="CL15" s="26" t="e">
        <f t="shared" si="73"/>
        <v>#N/A</v>
      </c>
      <c r="CM15" s="26" t="e">
        <f t="shared" si="74"/>
        <v>#N/A</v>
      </c>
      <c r="CN15" s="26" t="e">
        <f t="shared" si="75"/>
        <v>#N/A</v>
      </c>
      <c r="CO15" s="15" t="e">
        <f t="shared" si="76"/>
        <v>#N/A</v>
      </c>
      <c r="CP15" s="26" t="e">
        <f t="shared" si="77"/>
        <v>#N/A</v>
      </c>
      <c r="CQ15" s="26" t="e">
        <f t="shared" si="78"/>
        <v>#N/A</v>
      </c>
      <c r="CR15" s="26" t="e">
        <f t="shared" si="79"/>
        <v>#N/A</v>
      </c>
    </row>
    <row r="16" spans="1:96" s="6" customFormat="1" ht="18.75" x14ac:dyDescent="0.25">
      <c r="A16" s="25">
        <v>4</v>
      </c>
      <c r="B16" s="11" t="e">
        <f t="shared" si="0"/>
        <v>#N/A</v>
      </c>
      <c r="C16" s="11" t="e">
        <f t="shared" si="1"/>
        <v>#N/A</v>
      </c>
      <c r="D16" s="11" t="e">
        <f t="shared" si="2"/>
        <v>#N/A</v>
      </c>
      <c r="E16" s="15" t="e">
        <f t="shared" si="3"/>
        <v>#N/A</v>
      </c>
      <c r="F16" s="26"/>
      <c r="G16" s="26" t="e">
        <f t="shared" si="4"/>
        <v>#N/A</v>
      </c>
      <c r="H16" s="26" t="e">
        <f t="shared" si="5"/>
        <v>#N/A</v>
      </c>
      <c r="I16" s="69"/>
      <c r="J16" s="70"/>
      <c r="K16" s="70"/>
      <c r="L16" s="70"/>
      <c r="M16" s="71"/>
      <c r="N16" s="70"/>
      <c r="O16" s="70"/>
      <c r="P16" s="70"/>
      <c r="Q16" s="25">
        <v>4</v>
      </c>
      <c r="R16" s="11" t="e">
        <f t="shared" si="6"/>
        <v>#N/A</v>
      </c>
      <c r="S16" s="11" t="e">
        <f t="shared" si="7"/>
        <v>#N/A</v>
      </c>
      <c r="T16" s="11" t="e">
        <f t="shared" si="8"/>
        <v>#N/A</v>
      </c>
      <c r="U16" s="15" t="e">
        <f t="shared" si="9"/>
        <v>#N/A</v>
      </c>
      <c r="V16" s="26" t="e">
        <f t="shared" si="10"/>
        <v>#N/A</v>
      </c>
      <c r="W16" s="26" t="e">
        <f t="shared" si="11"/>
        <v>#N/A</v>
      </c>
      <c r="X16" s="26" t="e">
        <f t="shared" si="12"/>
        <v>#N/A</v>
      </c>
      <c r="Y16" s="15" t="e">
        <f t="shared" si="13"/>
        <v>#N/A</v>
      </c>
      <c r="Z16" s="26" t="e">
        <f t="shared" si="14"/>
        <v>#N/A</v>
      </c>
      <c r="AA16" s="26" t="e">
        <f t="shared" si="15"/>
        <v>#N/A</v>
      </c>
      <c r="AB16" s="26" t="e">
        <f t="shared" si="16"/>
        <v>#N/A</v>
      </c>
      <c r="AC16" s="15" t="e">
        <f t="shared" si="17"/>
        <v>#N/A</v>
      </c>
      <c r="AD16" s="26" t="e">
        <f t="shared" si="18"/>
        <v>#N/A</v>
      </c>
      <c r="AE16" s="26" t="e">
        <f t="shared" si="19"/>
        <v>#N/A</v>
      </c>
      <c r="AF16" s="26" t="e">
        <f t="shared" si="20"/>
        <v>#N/A</v>
      </c>
      <c r="AG16" s="25">
        <v>4</v>
      </c>
      <c r="AH16" s="11" t="e">
        <f t="shared" si="80"/>
        <v>#N/A</v>
      </c>
      <c r="AI16" s="11" t="e">
        <f t="shared" si="21"/>
        <v>#N/A</v>
      </c>
      <c r="AJ16" s="11" t="e">
        <f t="shared" si="22"/>
        <v>#N/A</v>
      </c>
      <c r="AK16" s="15" t="e">
        <f t="shared" si="23"/>
        <v>#N/A</v>
      </c>
      <c r="AL16" s="26" t="e">
        <f t="shared" si="24"/>
        <v>#N/A</v>
      </c>
      <c r="AM16" s="26" t="e">
        <f t="shared" si="25"/>
        <v>#N/A</v>
      </c>
      <c r="AN16" s="26" t="e">
        <f t="shared" si="26"/>
        <v>#N/A</v>
      </c>
      <c r="AO16" s="15" t="e">
        <f t="shared" si="27"/>
        <v>#N/A</v>
      </c>
      <c r="AP16" s="26" t="e">
        <f t="shared" si="28"/>
        <v>#N/A</v>
      </c>
      <c r="AQ16" s="26" t="e">
        <f t="shared" si="29"/>
        <v>#N/A</v>
      </c>
      <c r="AR16" s="26" t="e">
        <f t="shared" si="30"/>
        <v>#N/A</v>
      </c>
      <c r="AS16" s="15" t="e">
        <f t="shared" si="31"/>
        <v>#N/A</v>
      </c>
      <c r="AT16" s="26" t="e">
        <f t="shared" si="32"/>
        <v>#N/A</v>
      </c>
      <c r="AU16" s="26" t="e">
        <f t="shared" si="33"/>
        <v>#N/A</v>
      </c>
      <c r="AV16" s="26" t="e">
        <f t="shared" si="34"/>
        <v>#N/A</v>
      </c>
      <c r="AW16" s="25">
        <v>4</v>
      </c>
      <c r="AX16" s="11" t="e">
        <f t="shared" si="35"/>
        <v>#N/A</v>
      </c>
      <c r="AY16" s="11" t="e">
        <f t="shared" si="36"/>
        <v>#N/A</v>
      </c>
      <c r="AZ16" s="11" t="e">
        <f t="shared" si="37"/>
        <v>#N/A</v>
      </c>
      <c r="BA16" s="15" t="e">
        <f t="shared" si="38"/>
        <v>#N/A</v>
      </c>
      <c r="BB16" s="26" t="e">
        <f t="shared" si="39"/>
        <v>#N/A</v>
      </c>
      <c r="BC16" s="26" t="e">
        <f t="shared" si="40"/>
        <v>#N/A</v>
      </c>
      <c r="BD16" s="26" t="e">
        <f t="shared" si="41"/>
        <v>#N/A</v>
      </c>
      <c r="BE16" s="15" t="e">
        <f t="shared" si="42"/>
        <v>#N/A</v>
      </c>
      <c r="BF16" s="26" t="e">
        <f t="shared" si="43"/>
        <v>#N/A</v>
      </c>
      <c r="BG16" s="26" t="e">
        <f t="shared" si="44"/>
        <v>#N/A</v>
      </c>
      <c r="BH16" s="26" t="e">
        <f t="shared" si="45"/>
        <v>#N/A</v>
      </c>
      <c r="BI16" s="15" t="e">
        <f t="shared" si="46"/>
        <v>#N/A</v>
      </c>
      <c r="BJ16" s="26" t="e">
        <f t="shared" si="47"/>
        <v>#N/A</v>
      </c>
      <c r="BK16" s="26" t="e">
        <f t="shared" si="48"/>
        <v>#N/A</v>
      </c>
      <c r="BL16" s="26" t="e">
        <f t="shared" si="49"/>
        <v>#N/A</v>
      </c>
      <c r="BM16" s="25">
        <v>4</v>
      </c>
      <c r="BN16" s="11" t="e">
        <f t="shared" si="50"/>
        <v>#N/A</v>
      </c>
      <c r="BO16" s="11" t="e">
        <f t="shared" si="51"/>
        <v>#N/A</v>
      </c>
      <c r="BP16" s="11" t="e">
        <f t="shared" si="52"/>
        <v>#N/A</v>
      </c>
      <c r="BQ16" s="15" t="e">
        <f t="shared" si="53"/>
        <v>#N/A</v>
      </c>
      <c r="BR16" s="26" t="e">
        <f t="shared" si="54"/>
        <v>#N/A</v>
      </c>
      <c r="BS16" s="26" t="e">
        <f t="shared" si="55"/>
        <v>#N/A</v>
      </c>
      <c r="BT16" s="26" t="e">
        <f t="shared" si="56"/>
        <v>#N/A</v>
      </c>
      <c r="BU16" s="15" t="e">
        <f t="shared" si="57"/>
        <v>#N/A</v>
      </c>
      <c r="BV16" s="26" t="e">
        <f t="shared" si="58"/>
        <v>#N/A</v>
      </c>
      <c r="BW16" s="26" t="e">
        <f t="shared" si="59"/>
        <v>#N/A</v>
      </c>
      <c r="BX16" s="26" t="e">
        <f t="shared" si="60"/>
        <v>#N/A</v>
      </c>
      <c r="BY16" s="15" t="e">
        <f t="shared" si="61"/>
        <v>#N/A</v>
      </c>
      <c r="BZ16" s="26" t="e">
        <f t="shared" si="62"/>
        <v>#N/A</v>
      </c>
      <c r="CA16" s="26" t="e">
        <f t="shared" si="63"/>
        <v>#N/A</v>
      </c>
      <c r="CB16" s="26" t="e">
        <f t="shared" si="64"/>
        <v>#N/A</v>
      </c>
      <c r="CC16" s="25">
        <v>4</v>
      </c>
      <c r="CD16" s="11" t="e">
        <f t="shared" si="65"/>
        <v>#N/A</v>
      </c>
      <c r="CE16" s="11" t="e">
        <f t="shared" si="66"/>
        <v>#N/A</v>
      </c>
      <c r="CF16" s="11" t="e">
        <f t="shared" si="67"/>
        <v>#N/A</v>
      </c>
      <c r="CG16" s="15" t="e">
        <f t="shared" si="68"/>
        <v>#N/A</v>
      </c>
      <c r="CH16" s="26" t="e">
        <f t="shared" si="69"/>
        <v>#N/A</v>
      </c>
      <c r="CI16" s="26" t="e">
        <f t="shared" si="70"/>
        <v>#N/A</v>
      </c>
      <c r="CJ16" s="26" t="e">
        <f t="shared" si="71"/>
        <v>#N/A</v>
      </c>
      <c r="CK16" s="15" t="e">
        <f t="shared" si="72"/>
        <v>#N/A</v>
      </c>
      <c r="CL16" s="26" t="e">
        <f t="shared" si="73"/>
        <v>#N/A</v>
      </c>
      <c r="CM16" s="26" t="e">
        <f t="shared" si="74"/>
        <v>#N/A</v>
      </c>
      <c r="CN16" s="26" t="e">
        <f t="shared" si="75"/>
        <v>#N/A</v>
      </c>
      <c r="CO16" s="15" t="e">
        <f t="shared" si="76"/>
        <v>#N/A</v>
      </c>
      <c r="CP16" s="26" t="e">
        <f t="shared" si="77"/>
        <v>#N/A</v>
      </c>
      <c r="CQ16" s="26" t="e">
        <f t="shared" si="78"/>
        <v>#N/A</v>
      </c>
      <c r="CR16" s="26" t="e">
        <f t="shared" si="79"/>
        <v>#N/A</v>
      </c>
    </row>
    <row r="17" spans="1:96" s="6" customFormat="1" ht="18.75" x14ac:dyDescent="0.25">
      <c r="A17" s="25">
        <v>5</v>
      </c>
      <c r="B17" s="11" t="e">
        <f t="shared" si="0"/>
        <v>#N/A</v>
      </c>
      <c r="C17" s="11" t="e">
        <f t="shared" si="1"/>
        <v>#N/A</v>
      </c>
      <c r="D17" s="11" t="e">
        <f t="shared" si="2"/>
        <v>#N/A</v>
      </c>
      <c r="E17" s="15" t="e">
        <f t="shared" si="3"/>
        <v>#N/A</v>
      </c>
      <c r="F17" s="26"/>
      <c r="G17" s="26" t="e">
        <f t="shared" si="4"/>
        <v>#N/A</v>
      </c>
      <c r="H17" s="26" t="e">
        <f t="shared" si="5"/>
        <v>#N/A</v>
      </c>
      <c r="I17" s="69"/>
      <c r="J17" s="70"/>
      <c r="K17" s="70"/>
      <c r="L17" s="70"/>
      <c r="M17" s="71"/>
      <c r="N17" s="70"/>
      <c r="O17" s="70"/>
      <c r="P17" s="70"/>
      <c r="Q17" s="25">
        <v>5</v>
      </c>
      <c r="R17" s="11" t="e">
        <f t="shared" si="6"/>
        <v>#N/A</v>
      </c>
      <c r="S17" s="11" t="e">
        <f t="shared" si="7"/>
        <v>#N/A</v>
      </c>
      <c r="T17" s="11" t="e">
        <f t="shared" si="8"/>
        <v>#N/A</v>
      </c>
      <c r="U17" s="15" t="e">
        <f t="shared" si="9"/>
        <v>#N/A</v>
      </c>
      <c r="V17" s="26" t="e">
        <f t="shared" si="10"/>
        <v>#N/A</v>
      </c>
      <c r="W17" s="26" t="e">
        <f t="shared" si="11"/>
        <v>#N/A</v>
      </c>
      <c r="X17" s="26" t="e">
        <f t="shared" si="12"/>
        <v>#N/A</v>
      </c>
      <c r="Y17" s="15" t="e">
        <f t="shared" si="13"/>
        <v>#N/A</v>
      </c>
      <c r="Z17" s="26" t="e">
        <f t="shared" si="14"/>
        <v>#N/A</v>
      </c>
      <c r="AA17" s="26" t="e">
        <f t="shared" si="15"/>
        <v>#N/A</v>
      </c>
      <c r="AB17" s="26" t="e">
        <f t="shared" si="16"/>
        <v>#N/A</v>
      </c>
      <c r="AC17" s="15" t="e">
        <f t="shared" si="17"/>
        <v>#N/A</v>
      </c>
      <c r="AD17" s="26" t="e">
        <f t="shared" si="18"/>
        <v>#N/A</v>
      </c>
      <c r="AE17" s="26" t="e">
        <f t="shared" si="19"/>
        <v>#N/A</v>
      </c>
      <c r="AF17" s="26" t="e">
        <f t="shared" si="20"/>
        <v>#N/A</v>
      </c>
      <c r="AG17" s="25">
        <v>5</v>
      </c>
      <c r="AH17" s="11" t="e">
        <f t="shared" si="80"/>
        <v>#N/A</v>
      </c>
      <c r="AI17" s="11" t="e">
        <f t="shared" si="21"/>
        <v>#N/A</v>
      </c>
      <c r="AJ17" s="11" t="e">
        <f t="shared" si="22"/>
        <v>#N/A</v>
      </c>
      <c r="AK17" s="15" t="e">
        <f t="shared" si="23"/>
        <v>#N/A</v>
      </c>
      <c r="AL17" s="26" t="e">
        <f t="shared" si="24"/>
        <v>#N/A</v>
      </c>
      <c r="AM17" s="26" t="e">
        <f t="shared" si="25"/>
        <v>#N/A</v>
      </c>
      <c r="AN17" s="26" t="e">
        <f t="shared" si="26"/>
        <v>#N/A</v>
      </c>
      <c r="AO17" s="15" t="e">
        <f t="shared" si="27"/>
        <v>#N/A</v>
      </c>
      <c r="AP17" s="26" t="e">
        <f t="shared" si="28"/>
        <v>#N/A</v>
      </c>
      <c r="AQ17" s="26" t="e">
        <f t="shared" si="29"/>
        <v>#N/A</v>
      </c>
      <c r="AR17" s="26" t="e">
        <f t="shared" si="30"/>
        <v>#N/A</v>
      </c>
      <c r="AS17" s="15" t="e">
        <f t="shared" si="31"/>
        <v>#N/A</v>
      </c>
      <c r="AT17" s="26" t="e">
        <f t="shared" si="32"/>
        <v>#N/A</v>
      </c>
      <c r="AU17" s="26" t="e">
        <f t="shared" si="33"/>
        <v>#N/A</v>
      </c>
      <c r="AV17" s="26" t="e">
        <f t="shared" si="34"/>
        <v>#N/A</v>
      </c>
      <c r="AW17" s="25">
        <v>5</v>
      </c>
      <c r="AX17" s="11" t="e">
        <f t="shared" si="35"/>
        <v>#N/A</v>
      </c>
      <c r="AY17" s="11" t="e">
        <f t="shared" si="36"/>
        <v>#N/A</v>
      </c>
      <c r="AZ17" s="11" t="e">
        <f t="shared" si="37"/>
        <v>#N/A</v>
      </c>
      <c r="BA17" s="15" t="e">
        <f t="shared" si="38"/>
        <v>#N/A</v>
      </c>
      <c r="BB17" s="26" t="e">
        <f t="shared" si="39"/>
        <v>#N/A</v>
      </c>
      <c r="BC17" s="26" t="e">
        <f t="shared" si="40"/>
        <v>#N/A</v>
      </c>
      <c r="BD17" s="26" t="e">
        <f t="shared" si="41"/>
        <v>#N/A</v>
      </c>
      <c r="BE17" s="15" t="e">
        <f t="shared" si="42"/>
        <v>#N/A</v>
      </c>
      <c r="BF17" s="26" t="e">
        <f t="shared" si="43"/>
        <v>#N/A</v>
      </c>
      <c r="BG17" s="26" t="e">
        <f t="shared" si="44"/>
        <v>#N/A</v>
      </c>
      <c r="BH17" s="26" t="e">
        <f t="shared" si="45"/>
        <v>#N/A</v>
      </c>
      <c r="BI17" s="15" t="e">
        <f t="shared" si="46"/>
        <v>#N/A</v>
      </c>
      <c r="BJ17" s="26" t="e">
        <f t="shared" si="47"/>
        <v>#N/A</v>
      </c>
      <c r="BK17" s="26" t="e">
        <f t="shared" si="48"/>
        <v>#N/A</v>
      </c>
      <c r="BL17" s="26" t="e">
        <f t="shared" si="49"/>
        <v>#N/A</v>
      </c>
      <c r="BM17" s="25">
        <v>5</v>
      </c>
      <c r="BN17" s="11" t="e">
        <f t="shared" si="50"/>
        <v>#N/A</v>
      </c>
      <c r="BO17" s="11" t="e">
        <f t="shared" si="51"/>
        <v>#N/A</v>
      </c>
      <c r="BP17" s="11" t="e">
        <f t="shared" si="52"/>
        <v>#N/A</v>
      </c>
      <c r="BQ17" s="15" t="e">
        <f t="shared" si="53"/>
        <v>#N/A</v>
      </c>
      <c r="BR17" s="26" t="e">
        <f t="shared" si="54"/>
        <v>#N/A</v>
      </c>
      <c r="BS17" s="26" t="e">
        <f t="shared" si="55"/>
        <v>#N/A</v>
      </c>
      <c r="BT17" s="26" t="e">
        <f t="shared" si="56"/>
        <v>#N/A</v>
      </c>
      <c r="BU17" s="15" t="e">
        <f t="shared" si="57"/>
        <v>#N/A</v>
      </c>
      <c r="BV17" s="26" t="e">
        <f t="shared" si="58"/>
        <v>#N/A</v>
      </c>
      <c r="BW17" s="26" t="e">
        <f t="shared" si="59"/>
        <v>#N/A</v>
      </c>
      <c r="BX17" s="26" t="e">
        <f t="shared" si="60"/>
        <v>#N/A</v>
      </c>
      <c r="BY17" s="15" t="e">
        <f t="shared" si="61"/>
        <v>#N/A</v>
      </c>
      <c r="BZ17" s="26" t="e">
        <f t="shared" si="62"/>
        <v>#N/A</v>
      </c>
      <c r="CA17" s="26" t="e">
        <f t="shared" si="63"/>
        <v>#N/A</v>
      </c>
      <c r="CB17" s="26" t="e">
        <f t="shared" si="64"/>
        <v>#N/A</v>
      </c>
      <c r="CC17" s="25">
        <v>5</v>
      </c>
      <c r="CD17" s="11" t="e">
        <f t="shared" si="65"/>
        <v>#N/A</v>
      </c>
      <c r="CE17" s="11" t="e">
        <f t="shared" si="66"/>
        <v>#N/A</v>
      </c>
      <c r="CF17" s="11" t="e">
        <f t="shared" si="67"/>
        <v>#N/A</v>
      </c>
      <c r="CG17" s="15" t="e">
        <f t="shared" si="68"/>
        <v>#N/A</v>
      </c>
      <c r="CH17" s="26" t="e">
        <f t="shared" si="69"/>
        <v>#N/A</v>
      </c>
      <c r="CI17" s="26" t="e">
        <f t="shared" si="70"/>
        <v>#N/A</v>
      </c>
      <c r="CJ17" s="26" t="e">
        <f t="shared" si="71"/>
        <v>#N/A</v>
      </c>
      <c r="CK17" s="15" t="e">
        <f t="shared" si="72"/>
        <v>#N/A</v>
      </c>
      <c r="CL17" s="26" t="e">
        <f t="shared" si="73"/>
        <v>#N/A</v>
      </c>
      <c r="CM17" s="26" t="e">
        <f t="shared" si="74"/>
        <v>#N/A</v>
      </c>
      <c r="CN17" s="26" t="e">
        <f t="shared" si="75"/>
        <v>#N/A</v>
      </c>
      <c r="CO17" s="15" t="e">
        <f t="shared" si="76"/>
        <v>#N/A</v>
      </c>
      <c r="CP17" s="26" t="e">
        <f t="shared" si="77"/>
        <v>#N/A</v>
      </c>
      <c r="CQ17" s="26" t="e">
        <f t="shared" si="78"/>
        <v>#N/A</v>
      </c>
      <c r="CR17" s="26" t="e">
        <f t="shared" si="79"/>
        <v>#N/A</v>
      </c>
    </row>
    <row r="18" spans="1:96" s="6" customFormat="1" ht="18.75" x14ac:dyDescent="0.25">
      <c r="A18" s="25">
        <v>6</v>
      </c>
      <c r="B18" s="11" t="e">
        <f t="shared" si="0"/>
        <v>#N/A</v>
      </c>
      <c r="C18" s="11" t="e">
        <f t="shared" si="1"/>
        <v>#N/A</v>
      </c>
      <c r="D18" s="11" t="e">
        <f t="shared" si="2"/>
        <v>#N/A</v>
      </c>
      <c r="E18" s="15" t="e">
        <f t="shared" si="3"/>
        <v>#N/A</v>
      </c>
      <c r="F18" s="26"/>
      <c r="G18" s="26" t="e">
        <f t="shared" si="4"/>
        <v>#N/A</v>
      </c>
      <c r="H18" s="26" t="e">
        <f t="shared" si="5"/>
        <v>#N/A</v>
      </c>
      <c r="I18" s="69"/>
      <c r="J18" s="70"/>
      <c r="K18" s="70"/>
      <c r="L18" s="70"/>
      <c r="M18" s="71"/>
      <c r="N18" s="70"/>
      <c r="O18" s="70"/>
      <c r="P18" s="70"/>
      <c r="Q18" s="25">
        <v>6</v>
      </c>
      <c r="R18" s="11" t="e">
        <f t="shared" si="6"/>
        <v>#N/A</v>
      </c>
      <c r="S18" s="11" t="e">
        <f t="shared" si="7"/>
        <v>#N/A</v>
      </c>
      <c r="T18" s="11" t="e">
        <f t="shared" si="8"/>
        <v>#N/A</v>
      </c>
      <c r="U18" s="15" t="e">
        <f t="shared" si="9"/>
        <v>#N/A</v>
      </c>
      <c r="V18" s="26" t="e">
        <f t="shared" si="10"/>
        <v>#N/A</v>
      </c>
      <c r="W18" s="26" t="e">
        <f t="shared" si="11"/>
        <v>#N/A</v>
      </c>
      <c r="X18" s="26" t="e">
        <f t="shared" si="12"/>
        <v>#N/A</v>
      </c>
      <c r="Y18" s="15" t="e">
        <f t="shared" si="13"/>
        <v>#N/A</v>
      </c>
      <c r="Z18" s="26" t="e">
        <f t="shared" si="14"/>
        <v>#N/A</v>
      </c>
      <c r="AA18" s="26" t="e">
        <f t="shared" si="15"/>
        <v>#N/A</v>
      </c>
      <c r="AB18" s="26" t="e">
        <f t="shared" si="16"/>
        <v>#N/A</v>
      </c>
      <c r="AC18" s="15" t="e">
        <f t="shared" si="17"/>
        <v>#N/A</v>
      </c>
      <c r="AD18" s="26" t="e">
        <f t="shared" si="18"/>
        <v>#N/A</v>
      </c>
      <c r="AE18" s="26" t="e">
        <f t="shared" si="19"/>
        <v>#N/A</v>
      </c>
      <c r="AF18" s="26" t="e">
        <f t="shared" si="20"/>
        <v>#N/A</v>
      </c>
      <c r="AG18" s="25">
        <v>6</v>
      </c>
      <c r="AH18" s="11" t="e">
        <f t="shared" si="80"/>
        <v>#N/A</v>
      </c>
      <c r="AI18" s="11" t="e">
        <f t="shared" si="21"/>
        <v>#N/A</v>
      </c>
      <c r="AJ18" s="11" t="e">
        <f t="shared" si="22"/>
        <v>#N/A</v>
      </c>
      <c r="AK18" s="15" t="e">
        <f t="shared" si="23"/>
        <v>#N/A</v>
      </c>
      <c r="AL18" s="26" t="e">
        <f t="shared" si="24"/>
        <v>#N/A</v>
      </c>
      <c r="AM18" s="26" t="e">
        <f t="shared" si="25"/>
        <v>#N/A</v>
      </c>
      <c r="AN18" s="26" t="e">
        <f t="shared" si="26"/>
        <v>#N/A</v>
      </c>
      <c r="AO18" s="15" t="e">
        <f t="shared" si="27"/>
        <v>#N/A</v>
      </c>
      <c r="AP18" s="26" t="e">
        <f t="shared" si="28"/>
        <v>#N/A</v>
      </c>
      <c r="AQ18" s="26" t="e">
        <f t="shared" si="29"/>
        <v>#N/A</v>
      </c>
      <c r="AR18" s="26" t="e">
        <f t="shared" si="30"/>
        <v>#N/A</v>
      </c>
      <c r="AS18" s="15" t="e">
        <f t="shared" si="31"/>
        <v>#N/A</v>
      </c>
      <c r="AT18" s="26" t="e">
        <f t="shared" si="32"/>
        <v>#N/A</v>
      </c>
      <c r="AU18" s="26" t="e">
        <f t="shared" si="33"/>
        <v>#N/A</v>
      </c>
      <c r="AV18" s="26" t="e">
        <f t="shared" si="34"/>
        <v>#N/A</v>
      </c>
      <c r="AW18" s="25">
        <v>6</v>
      </c>
      <c r="AX18" s="11" t="e">
        <f t="shared" si="35"/>
        <v>#N/A</v>
      </c>
      <c r="AY18" s="11" t="e">
        <f t="shared" si="36"/>
        <v>#N/A</v>
      </c>
      <c r="AZ18" s="11" t="e">
        <f t="shared" si="37"/>
        <v>#N/A</v>
      </c>
      <c r="BA18" s="15" t="e">
        <f t="shared" si="38"/>
        <v>#N/A</v>
      </c>
      <c r="BB18" s="26" t="e">
        <f t="shared" si="39"/>
        <v>#N/A</v>
      </c>
      <c r="BC18" s="26" t="e">
        <f t="shared" si="40"/>
        <v>#N/A</v>
      </c>
      <c r="BD18" s="26" t="e">
        <f t="shared" si="41"/>
        <v>#N/A</v>
      </c>
      <c r="BE18" s="15" t="e">
        <f t="shared" si="42"/>
        <v>#N/A</v>
      </c>
      <c r="BF18" s="26" t="e">
        <f t="shared" si="43"/>
        <v>#N/A</v>
      </c>
      <c r="BG18" s="26" t="e">
        <f t="shared" si="44"/>
        <v>#N/A</v>
      </c>
      <c r="BH18" s="26" t="e">
        <f t="shared" si="45"/>
        <v>#N/A</v>
      </c>
      <c r="BI18" s="15" t="e">
        <f t="shared" si="46"/>
        <v>#N/A</v>
      </c>
      <c r="BJ18" s="26" t="e">
        <f t="shared" si="47"/>
        <v>#N/A</v>
      </c>
      <c r="BK18" s="26" t="e">
        <f t="shared" si="48"/>
        <v>#N/A</v>
      </c>
      <c r="BL18" s="26" t="e">
        <f t="shared" si="49"/>
        <v>#N/A</v>
      </c>
      <c r="BM18" s="25">
        <v>6</v>
      </c>
      <c r="BN18" s="11" t="e">
        <f t="shared" si="50"/>
        <v>#N/A</v>
      </c>
      <c r="BO18" s="11" t="e">
        <f t="shared" si="51"/>
        <v>#N/A</v>
      </c>
      <c r="BP18" s="11" t="e">
        <f t="shared" si="52"/>
        <v>#N/A</v>
      </c>
      <c r="BQ18" s="15" t="e">
        <f t="shared" si="53"/>
        <v>#N/A</v>
      </c>
      <c r="BR18" s="26" t="e">
        <f t="shared" si="54"/>
        <v>#N/A</v>
      </c>
      <c r="BS18" s="26" t="e">
        <f t="shared" si="55"/>
        <v>#N/A</v>
      </c>
      <c r="BT18" s="26" t="e">
        <f t="shared" si="56"/>
        <v>#N/A</v>
      </c>
      <c r="BU18" s="15" t="e">
        <f t="shared" si="57"/>
        <v>#N/A</v>
      </c>
      <c r="BV18" s="26" t="e">
        <f t="shared" si="58"/>
        <v>#N/A</v>
      </c>
      <c r="BW18" s="26" t="e">
        <f t="shared" si="59"/>
        <v>#N/A</v>
      </c>
      <c r="BX18" s="26" t="e">
        <f t="shared" si="60"/>
        <v>#N/A</v>
      </c>
      <c r="BY18" s="15" t="e">
        <f t="shared" si="61"/>
        <v>#N/A</v>
      </c>
      <c r="BZ18" s="26" t="e">
        <f t="shared" si="62"/>
        <v>#N/A</v>
      </c>
      <c r="CA18" s="26" t="e">
        <f t="shared" si="63"/>
        <v>#N/A</v>
      </c>
      <c r="CB18" s="26" t="e">
        <f t="shared" si="64"/>
        <v>#N/A</v>
      </c>
      <c r="CC18" s="25">
        <v>6</v>
      </c>
      <c r="CD18" s="11" t="e">
        <f t="shared" si="65"/>
        <v>#N/A</v>
      </c>
      <c r="CE18" s="11" t="e">
        <f t="shared" si="66"/>
        <v>#N/A</v>
      </c>
      <c r="CF18" s="11" t="e">
        <f t="shared" si="67"/>
        <v>#N/A</v>
      </c>
      <c r="CG18" s="15" t="e">
        <f t="shared" si="68"/>
        <v>#N/A</v>
      </c>
      <c r="CH18" s="26" t="e">
        <f t="shared" si="69"/>
        <v>#N/A</v>
      </c>
      <c r="CI18" s="26" t="e">
        <f t="shared" si="70"/>
        <v>#N/A</v>
      </c>
      <c r="CJ18" s="26" t="e">
        <f t="shared" si="71"/>
        <v>#N/A</v>
      </c>
      <c r="CK18" s="15" t="e">
        <f t="shared" si="72"/>
        <v>#N/A</v>
      </c>
      <c r="CL18" s="26" t="e">
        <f t="shared" si="73"/>
        <v>#N/A</v>
      </c>
      <c r="CM18" s="26" t="e">
        <f t="shared" si="74"/>
        <v>#N/A</v>
      </c>
      <c r="CN18" s="26" t="e">
        <f t="shared" si="75"/>
        <v>#N/A</v>
      </c>
      <c r="CO18" s="15" t="e">
        <f t="shared" si="76"/>
        <v>#N/A</v>
      </c>
      <c r="CP18" s="26" t="e">
        <f t="shared" si="77"/>
        <v>#N/A</v>
      </c>
      <c r="CQ18" s="26" t="e">
        <f t="shared" si="78"/>
        <v>#N/A</v>
      </c>
      <c r="CR18" s="26" t="e">
        <f t="shared" si="79"/>
        <v>#N/A</v>
      </c>
    </row>
    <row r="19" spans="1:96" s="6" customFormat="1" ht="18.75" x14ac:dyDescent="0.25">
      <c r="A19" s="25">
        <v>7</v>
      </c>
      <c r="B19" s="11" t="e">
        <f t="shared" si="0"/>
        <v>#N/A</v>
      </c>
      <c r="C19" s="11" t="e">
        <f t="shared" si="1"/>
        <v>#N/A</v>
      </c>
      <c r="D19" s="11" t="e">
        <f t="shared" si="2"/>
        <v>#N/A</v>
      </c>
      <c r="E19" s="15" t="e">
        <f t="shared" si="3"/>
        <v>#N/A</v>
      </c>
      <c r="F19" s="26"/>
      <c r="G19" s="26" t="e">
        <f t="shared" si="4"/>
        <v>#N/A</v>
      </c>
      <c r="H19" s="26" t="e">
        <f t="shared" si="5"/>
        <v>#N/A</v>
      </c>
      <c r="I19" s="69"/>
      <c r="J19" s="70"/>
      <c r="K19" s="70"/>
      <c r="L19" s="70"/>
      <c r="M19" s="71"/>
      <c r="N19" s="70"/>
      <c r="O19" s="70"/>
      <c r="P19" s="70"/>
      <c r="Q19" s="25">
        <v>7</v>
      </c>
      <c r="R19" s="11" t="e">
        <f t="shared" si="6"/>
        <v>#N/A</v>
      </c>
      <c r="S19" s="11" t="e">
        <f t="shared" si="7"/>
        <v>#N/A</v>
      </c>
      <c r="T19" s="11" t="e">
        <f t="shared" si="8"/>
        <v>#N/A</v>
      </c>
      <c r="U19" s="15" t="e">
        <f t="shared" si="9"/>
        <v>#N/A</v>
      </c>
      <c r="V19" s="26" t="e">
        <f t="shared" si="10"/>
        <v>#N/A</v>
      </c>
      <c r="W19" s="26" t="e">
        <f t="shared" si="11"/>
        <v>#N/A</v>
      </c>
      <c r="X19" s="26" t="e">
        <f t="shared" si="12"/>
        <v>#N/A</v>
      </c>
      <c r="Y19" s="15" t="e">
        <f t="shared" si="13"/>
        <v>#N/A</v>
      </c>
      <c r="Z19" s="26" t="e">
        <f t="shared" si="14"/>
        <v>#N/A</v>
      </c>
      <c r="AA19" s="26" t="e">
        <f t="shared" si="15"/>
        <v>#N/A</v>
      </c>
      <c r="AB19" s="26" t="e">
        <f t="shared" si="16"/>
        <v>#N/A</v>
      </c>
      <c r="AC19" s="15" t="e">
        <f t="shared" si="17"/>
        <v>#N/A</v>
      </c>
      <c r="AD19" s="26" t="e">
        <f t="shared" si="18"/>
        <v>#N/A</v>
      </c>
      <c r="AE19" s="26" t="e">
        <f t="shared" si="19"/>
        <v>#N/A</v>
      </c>
      <c r="AF19" s="26" t="e">
        <f t="shared" si="20"/>
        <v>#N/A</v>
      </c>
      <c r="AG19" s="25">
        <v>7</v>
      </c>
      <c r="AH19" s="11" t="e">
        <f t="shared" si="80"/>
        <v>#N/A</v>
      </c>
      <c r="AI19" s="11" t="e">
        <f t="shared" si="21"/>
        <v>#N/A</v>
      </c>
      <c r="AJ19" s="11" t="e">
        <f t="shared" si="22"/>
        <v>#N/A</v>
      </c>
      <c r="AK19" s="15" t="e">
        <f t="shared" si="23"/>
        <v>#N/A</v>
      </c>
      <c r="AL19" s="26" t="e">
        <f t="shared" si="24"/>
        <v>#N/A</v>
      </c>
      <c r="AM19" s="26" t="e">
        <f t="shared" si="25"/>
        <v>#N/A</v>
      </c>
      <c r="AN19" s="26" t="e">
        <f t="shared" si="26"/>
        <v>#N/A</v>
      </c>
      <c r="AO19" s="15" t="e">
        <f t="shared" si="27"/>
        <v>#N/A</v>
      </c>
      <c r="AP19" s="26" t="e">
        <f t="shared" si="28"/>
        <v>#N/A</v>
      </c>
      <c r="AQ19" s="26" t="e">
        <f t="shared" si="29"/>
        <v>#N/A</v>
      </c>
      <c r="AR19" s="26" t="e">
        <f t="shared" si="30"/>
        <v>#N/A</v>
      </c>
      <c r="AS19" s="15" t="e">
        <f t="shared" si="31"/>
        <v>#N/A</v>
      </c>
      <c r="AT19" s="26" t="e">
        <f t="shared" si="32"/>
        <v>#N/A</v>
      </c>
      <c r="AU19" s="26" t="e">
        <f t="shared" si="33"/>
        <v>#N/A</v>
      </c>
      <c r="AV19" s="26" t="e">
        <f t="shared" si="34"/>
        <v>#N/A</v>
      </c>
      <c r="AW19" s="25">
        <v>7</v>
      </c>
      <c r="AX19" s="11" t="e">
        <f t="shared" si="35"/>
        <v>#N/A</v>
      </c>
      <c r="AY19" s="11" t="e">
        <f t="shared" si="36"/>
        <v>#N/A</v>
      </c>
      <c r="AZ19" s="11" t="e">
        <f t="shared" si="37"/>
        <v>#N/A</v>
      </c>
      <c r="BA19" s="15" t="e">
        <f t="shared" si="38"/>
        <v>#N/A</v>
      </c>
      <c r="BB19" s="26" t="e">
        <f t="shared" si="39"/>
        <v>#N/A</v>
      </c>
      <c r="BC19" s="26" t="e">
        <f t="shared" si="40"/>
        <v>#N/A</v>
      </c>
      <c r="BD19" s="26" t="e">
        <f t="shared" si="41"/>
        <v>#N/A</v>
      </c>
      <c r="BE19" s="15" t="e">
        <f t="shared" si="42"/>
        <v>#N/A</v>
      </c>
      <c r="BF19" s="26" t="e">
        <f t="shared" si="43"/>
        <v>#N/A</v>
      </c>
      <c r="BG19" s="26" t="e">
        <f t="shared" si="44"/>
        <v>#N/A</v>
      </c>
      <c r="BH19" s="26" t="e">
        <f t="shared" si="45"/>
        <v>#N/A</v>
      </c>
      <c r="BI19" s="15" t="e">
        <f t="shared" si="46"/>
        <v>#N/A</v>
      </c>
      <c r="BJ19" s="26" t="e">
        <f t="shared" si="47"/>
        <v>#N/A</v>
      </c>
      <c r="BK19" s="26" t="e">
        <f t="shared" si="48"/>
        <v>#N/A</v>
      </c>
      <c r="BL19" s="26" t="e">
        <f t="shared" si="49"/>
        <v>#N/A</v>
      </c>
      <c r="BM19" s="25">
        <v>7</v>
      </c>
      <c r="BN19" s="11" t="e">
        <f t="shared" si="50"/>
        <v>#N/A</v>
      </c>
      <c r="BO19" s="11" t="e">
        <f t="shared" si="51"/>
        <v>#N/A</v>
      </c>
      <c r="BP19" s="11" t="e">
        <f t="shared" si="52"/>
        <v>#N/A</v>
      </c>
      <c r="BQ19" s="15" t="e">
        <f t="shared" si="53"/>
        <v>#N/A</v>
      </c>
      <c r="BR19" s="26" t="e">
        <f t="shared" si="54"/>
        <v>#N/A</v>
      </c>
      <c r="BS19" s="26" t="e">
        <f t="shared" si="55"/>
        <v>#N/A</v>
      </c>
      <c r="BT19" s="26" t="e">
        <f t="shared" si="56"/>
        <v>#N/A</v>
      </c>
      <c r="BU19" s="15" t="e">
        <f t="shared" si="57"/>
        <v>#N/A</v>
      </c>
      <c r="BV19" s="26" t="e">
        <f t="shared" si="58"/>
        <v>#N/A</v>
      </c>
      <c r="BW19" s="26" t="e">
        <f t="shared" si="59"/>
        <v>#N/A</v>
      </c>
      <c r="BX19" s="26" t="e">
        <f t="shared" si="60"/>
        <v>#N/A</v>
      </c>
      <c r="BY19" s="15" t="e">
        <f t="shared" si="61"/>
        <v>#N/A</v>
      </c>
      <c r="BZ19" s="26" t="e">
        <f t="shared" si="62"/>
        <v>#N/A</v>
      </c>
      <c r="CA19" s="26" t="e">
        <f t="shared" si="63"/>
        <v>#N/A</v>
      </c>
      <c r="CB19" s="26" t="e">
        <f t="shared" si="64"/>
        <v>#N/A</v>
      </c>
      <c r="CC19" s="25">
        <v>7</v>
      </c>
      <c r="CD19" s="11" t="e">
        <f t="shared" si="65"/>
        <v>#N/A</v>
      </c>
      <c r="CE19" s="11" t="e">
        <f t="shared" si="66"/>
        <v>#N/A</v>
      </c>
      <c r="CF19" s="11" t="e">
        <f t="shared" si="67"/>
        <v>#N/A</v>
      </c>
      <c r="CG19" s="15" t="e">
        <f t="shared" si="68"/>
        <v>#N/A</v>
      </c>
      <c r="CH19" s="26" t="e">
        <f t="shared" si="69"/>
        <v>#N/A</v>
      </c>
      <c r="CI19" s="26" t="e">
        <f t="shared" si="70"/>
        <v>#N/A</v>
      </c>
      <c r="CJ19" s="26" t="e">
        <f t="shared" si="71"/>
        <v>#N/A</v>
      </c>
      <c r="CK19" s="15" t="e">
        <f t="shared" si="72"/>
        <v>#N/A</v>
      </c>
      <c r="CL19" s="26" t="e">
        <f t="shared" si="73"/>
        <v>#N/A</v>
      </c>
      <c r="CM19" s="26" t="e">
        <f t="shared" si="74"/>
        <v>#N/A</v>
      </c>
      <c r="CN19" s="26" t="e">
        <f t="shared" si="75"/>
        <v>#N/A</v>
      </c>
      <c r="CO19" s="15" t="e">
        <f t="shared" si="76"/>
        <v>#N/A</v>
      </c>
      <c r="CP19" s="26" t="e">
        <f t="shared" si="77"/>
        <v>#N/A</v>
      </c>
      <c r="CQ19" s="26" t="e">
        <f t="shared" si="78"/>
        <v>#N/A</v>
      </c>
      <c r="CR19" s="26" t="e">
        <f t="shared" si="79"/>
        <v>#N/A</v>
      </c>
    </row>
    <row r="20" spans="1:96" s="6" customFormat="1" ht="18.75" x14ac:dyDescent="0.25">
      <c r="A20" s="25">
        <v>8</v>
      </c>
      <c r="B20" s="11" t="e">
        <f t="shared" si="0"/>
        <v>#N/A</v>
      </c>
      <c r="C20" s="11" t="e">
        <f t="shared" si="1"/>
        <v>#N/A</v>
      </c>
      <c r="D20" s="11" t="e">
        <f t="shared" si="2"/>
        <v>#N/A</v>
      </c>
      <c r="E20" s="15" t="e">
        <f t="shared" si="3"/>
        <v>#N/A</v>
      </c>
      <c r="F20" s="26"/>
      <c r="G20" s="26" t="e">
        <f t="shared" si="4"/>
        <v>#N/A</v>
      </c>
      <c r="H20" s="26" t="e">
        <f t="shared" si="5"/>
        <v>#N/A</v>
      </c>
      <c r="I20" s="69"/>
      <c r="J20" s="70"/>
      <c r="K20" s="70"/>
      <c r="L20" s="70"/>
      <c r="M20" s="71"/>
      <c r="N20" s="70"/>
      <c r="O20" s="70"/>
      <c r="P20" s="70"/>
      <c r="Q20" s="25">
        <v>8</v>
      </c>
      <c r="R20" s="11" t="e">
        <f t="shared" si="6"/>
        <v>#N/A</v>
      </c>
      <c r="S20" s="11" t="e">
        <f t="shared" si="7"/>
        <v>#N/A</v>
      </c>
      <c r="T20" s="11" t="e">
        <f t="shared" si="8"/>
        <v>#N/A</v>
      </c>
      <c r="U20" s="15" t="e">
        <f t="shared" si="9"/>
        <v>#N/A</v>
      </c>
      <c r="V20" s="26" t="e">
        <f t="shared" si="10"/>
        <v>#N/A</v>
      </c>
      <c r="W20" s="26" t="e">
        <f t="shared" si="11"/>
        <v>#N/A</v>
      </c>
      <c r="X20" s="26" t="e">
        <f t="shared" si="12"/>
        <v>#N/A</v>
      </c>
      <c r="Y20" s="15" t="e">
        <f t="shared" si="13"/>
        <v>#N/A</v>
      </c>
      <c r="Z20" s="26" t="e">
        <f t="shared" si="14"/>
        <v>#N/A</v>
      </c>
      <c r="AA20" s="26" t="e">
        <f t="shared" si="15"/>
        <v>#N/A</v>
      </c>
      <c r="AB20" s="26" t="e">
        <f t="shared" si="16"/>
        <v>#N/A</v>
      </c>
      <c r="AC20" s="15" t="e">
        <f t="shared" si="17"/>
        <v>#N/A</v>
      </c>
      <c r="AD20" s="26" t="e">
        <f t="shared" si="18"/>
        <v>#N/A</v>
      </c>
      <c r="AE20" s="26" t="e">
        <f t="shared" si="19"/>
        <v>#N/A</v>
      </c>
      <c r="AF20" s="26" t="e">
        <f t="shared" si="20"/>
        <v>#N/A</v>
      </c>
      <c r="AG20" s="25">
        <v>8</v>
      </c>
      <c r="AH20" s="11" t="e">
        <f t="shared" si="80"/>
        <v>#N/A</v>
      </c>
      <c r="AI20" s="11" t="e">
        <f t="shared" si="21"/>
        <v>#N/A</v>
      </c>
      <c r="AJ20" s="11" t="e">
        <f t="shared" si="22"/>
        <v>#N/A</v>
      </c>
      <c r="AK20" s="15" t="e">
        <f t="shared" si="23"/>
        <v>#N/A</v>
      </c>
      <c r="AL20" s="26" t="e">
        <f t="shared" si="24"/>
        <v>#N/A</v>
      </c>
      <c r="AM20" s="26" t="e">
        <f t="shared" si="25"/>
        <v>#N/A</v>
      </c>
      <c r="AN20" s="26" t="e">
        <f t="shared" si="26"/>
        <v>#N/A</v>
      </c>
      <c r="AO20" s="15" t="e">
        <f t="shared" si="27"/>
        <v>#N/A</v>
      </c>
      <c r="AP20" s="26" t="e">
        <f t="shared" si="28"/>
        <v>#N/A</v>
      </c>
      <c r="AQ20" s="26" t="e">
        <f t="shared" si="29"/>
        <v>#N/A</v>
      </c>
      <c r="AR20" s="26" t="e">
        <f t="shared" si="30"/>
        <v>#N/A</v>
      </c>
      <c r="AS20" s="15" t="e">
        <f t="shared" si="31"/>
        <v>#N/A</v>
      </c>
      <c r="AT20" s="26" t="e">
        <f t="shared" si="32"/>
        <v>#N/A</v>
      </c>
      <c r="AU20" s="26" t="e">
        <f t="shared" si="33"/>
        <v>#N/A</v>
      </c>
      <c r="AV20" s="26" t="e">
        <f t="shared" si="34"/>
        <v>#N/A</v>
      </c>
      <c r="AW20" s="25">
        <v>8</v>
      </c>
      <c r="AX20" s="11" t="e">
        <f t="shared" si="35"/>
        <v>#N/A</v>
      </c>
      <c r="AY20" s="11" t="e">
        <f t="shared" si="36"/>
        <v>#N/A</v>
      </c>
      <c r="AZ20" s="11" t="e">
        <f t="shared" si="37"/>
        <v>#N/A</v>
      </c>
      <c r="BA20" s="15" t="e">
        <f t="shared" si="38"/>
        <v>#N/A</v>
      </c>
      <c r="BB20" s="26" t="e">
        <f t="shared" si="39"/>
        <v>#N/A</v>
      </c>
      <c r="BC20" s="26" t="e">
        <f t="shared" si="40"/>
        <v>#N/A</v>
      </c>
      <c r="BD20" s="26" t="e">
        <f t="shared" si="41"/>
        <v>#N/A</v>
      </c>
      <c r="BE20" s="15" t="e">
        <f t="shared" si="42"/>
        <v>#N/A</v>
      </c>
      <c r="BF20" s="26" t="e">
        <f t="shared" si="43"/>
        <v>#N/A</v>
      </c>
      <c r="BG20" s="26" t="e">
        <f t="shared" si="44"/>
        <v>#N/A</v>
      </c>
      <c r="BH20" s="26" t="e">
        <f t="shared" si="45"/>
        <v>#N/A</v>
      </c>
      <c r="BI20" s="15" t="e">
        <f t="shared" si="46"/>
        <v>#N/A</v>
      </c>
      <c r="BJ20" s="26" t="e">
        <f t="shared" si="47"/>
        <v>#N/A</v>
      </c>
      <c r="BK20" s="26" t="e">
        <f t="shared" si="48"/>
        <v>#N/A</v>
      </c>
      <c r="BL20" s="26" t="e">
        <f t="shared" si="49"/>
        <v>#N/A</v>
      </c>
      <c r="BM20" s="25">
        <v>8</v>
      </c>
      <c r="BN20" s="11" t="e">
        <f t="shared" si="50"/>
        <v>#N/A</v>
      </c>
      <c r="BO20" s="11" t="e">
        <f t="shared" si="51"/>
        <v>#N/A</v>
      </c>
      <c r="BP20" s="11" t="e">
        <f t="shared" si="52"/>
        <v>#N/A</v>
      </c>
      <c r="BQ20" s="15" t="e">
        <f t="shared" si="53"/>
        <v>#N/A</v>
      </c>
      <c r="BR20" s="26" t="e">
        <f t="shared" si="54"/>
        <v>#N/A</v>
      </c>
      <c r="BS20" s="26" t="e">
        <f t="shared" si="55"/>
        <v>#N/A</v>
      </c>
      <c r="BT20" s="26" t="e">
        <f t="shared" si="56"/>
        <v>#N/A</v>
      </c>
      <c r="BU20" s="15" t="e">
        <f t="shared" si="57"/>
        <v>#N/A</v>
      </c>
      <c r="BV20" s="26" t="e">
        <f t="shared" si="58"/>
        <v>#N/A</v>
      </c>
      <c r="BW20" s="26" t="e">
        <f t="shared" si="59"/>
        <v>#N/A</v>
      </c>
      <c r="BX20" s="26" t="e">
        <f t="shared" si="60"/>
        <v>#N/A</v>
      </c>
      <c r="BY20" s="15" t="e">
        <f t="shared" si="61"/>
        <v>#N/A</v>
      </c>
      <c r="BZ20" s="26" t="e">
        <f t="shared" si="62"/>
        <v>#N/A</v>
      </c>
      <c r="CA20" s="26" t="e">
        <f t="shared" si="63"/>
        <v>#N/A</v>
      </c>
      <c r="CB20" s="26" t="e">
        <f t="shared" si="64"/>
        <v>#N/A</v>
      </c>
      <c r="CC20" s="25">
        <v>8</v>
      </c>
      <c r="CD20" s="11" t="e">
        <f t="shared" si="65"/>
        <v>#N/A</v>
      </c>
      <c r="CE20" s="11" t="e">
        <f t="shared" si="66"/>
        <v>#N/A</v>
      </c>
      <c r="CF20" s="11" t="e">
        <f t="shared" si="67"/>
        <v>#N/A</v>
      </c>
      <c r="CG20" s="15" t="e">
        <f t="shared" si="68"/>
        <v>#N/A</v>
      </c>
      <c r="CH20" s="26" t="e">
        <f t="shared" si="69"/>
        <v>#N/A</v>
      </c>
      <c r="CI20" s="26" t="e">
        <f t="shared" si="70"/>
        <v>#N/A</v>
      </c>
      <c r="CJ20" s="26" t="e">
        <f t="shared" si="71"/>
        <v>#N/A</v>
      </c>
      <c r="CK20" s="15" t="e">
        <f t="shared" si="72"/>
        <v>#N/A</v>
      </c>
      <c r="CL20" s="26" t="e">
        <f t="shared" si="73"/>
        <v>#N/A</v>
      </c>
      <c r="CM20" s="26" t="e">
        <f t="shared" si="74"/>
        <v>#N/A</v>
      </c>
      <c r="CN20" s="26" t="e">
        <f t="shared" si="75"/>
        <v>#N/A</v>
      </c>
      <c r="CO20" s="15" t="e">
        <f t="shared" si="76"/>
        <v>#N/A</v>
      </c>
      <c r="CP20" s="26" t="e">
        <f t="shared" si="77"/>
        <v>#N/A</v>
      </c>
      <c r="CQ20" s="26" t="e">
        <f t="shared" si="78"/>
        <v>#N/A</v>
      </c>
      <c r="CR20" s="26" t="e">
        <f t="shared" si="79"/>
        <v>#N/A</v>
      </c>
    </row>
    <row r="21" spans="1:96" s="6" customFormat="1" ht="18.75" x14ac:dyDescent="0.25">
      <c r="A21" s="25">
        <v>9</v>
      </c>
      <c r="B21" s="11" t="e">
        <f t="shared" si="0"/>
        <v>#N/A</v>
      </c>
      <c r="C21" s="11" t="e">
        <f t="shared" si="1"/>
        <v>#N/A</v>
      </c>
      <c r="D21" s="11" t="e">
        <f t="shared" si="2"/>
        <v>#N/A</v>
      </c>
      <c r="E21" s="15" t="e">
        <f t="shared" si="3"/>
        <v>#N/A</v>
      </c>
      <c r="F21" s="26"/>
      <c r="G21" s="26" t="e">
        <f t="shared" si="4"/>
        <v>#N/A</v>
      </c>
      <c r="H21" s="26" t="e">
        <f t="shared" si="5"/>
        <v>#N/A</v>
      </c>
      <c r="I21" s="69"/>
      <c r="J21" s="70"/>
      <c r="K21" s="70"/>
      <c r="L21" s="70"/>
      <c r="M21" s="71"/>
      <c r="N21" s="70"/>
      <c r="O21" s="70"/>
      <c r="P21" s="70"/>
      <c r="Q21" s="25">
        <v>9</v>
      </c>
      <c r="R21" s="11" t="e">
        <f t="shared" si="6"/>
        <v>#N/A</v>
      </c>
      <c r="S21" s="11" t="e">
        <f t="shared" si="7"/>
        <v>#N/A</v>
      </c>
      <c r="T21" s="11" t="e">
        <f t="shared" si="8"/>
        <v>#N/A</v>
      </c>
      <c r="U21" s="15" t="e">
        <f t="shared" si="9"/>
        <v>#N/A</v>
      </c>
      <c r="V21" s="26" t="e">
        <f t="shared" si="10"/>
        <v>#N/A</v>
      </c>
      <c r="W21" s="26" t="e">
        <f t="shared" si="11"/>
        <v>#N/A</v>
      </c>
      <c r="X21" s="26" t="e">
        <f t="shared" si="12"/>
        <v>#N/A</v>
      </c>
      <c r="Y21" s="15" t="e">
        <f t="shared" si="13"/>
        <v>#N/A</v>
      </c>
      <c r="Z21" s="26" t="e">
        <f t="shared" si="14"/>
        <v>#N/A</v>
      </c>
      <c r="AA21" s="26" t="e">
        <f t="shared" si="15"/>
        <v>#N/A</v>
      </c>
      <c r="AB21" s="26" t="e">
        <f t="shared" si="16"/>
        <v>#N/A</v>
      </c>
      <c r="AC21" s="15" t="e">
        <f t="shared" si="17"/>
        <v>#N/A</v>
      </c>
      <c r="AD21" s="26" t="e">
        <f t="shared" si="18"/>
        <v>#N/A</v>
      </c>
      <c r="AE21" s="26" t="e">
        <f t="shared" si="19"/>
        <v>#N/A</v>
      </c>
      <c r="AF21" s="26" t="e">
        <f t="shared" si="20"/>
        <v>#N/A</v>
      </c>
      <c r="AG21" s="25">
        <v>9</v>
      </c>
      <c r="AH21" s="11" t="e">
        <f t="shared" si="80"/>
        <v>#N/A</v>
      </c>
      <c r="AI21" s="11" t="e">
        <f t="shared" si="21"/>
        <v>#N/A</v>
      </c>
      <c r="AJ21" s="11" t="e">
        <f t="shared" si="22"/>
        <v>#N/A</v>
      </c>
      <c r="AK21" s="15" t="e">
        <f t="shared" si="23"/>
        <v>#N/A</v>
      </c>
      <c r="AL21" s="26" t="e">
        <f t="shared" si="24"/>
        <v>#N/A</v>
      </c>
      <c r="AM21" s="26" t="e">
        <f t="shared" si="25"/>
        <v>#N/A</v>
      </c>
      <c r="AN21" s="26" t="e">
        <f t="shared" si="26"/>
        <v>#N/A</v>
      </c>
      <c r="AO21" s="15" t="e">
        <f t="shared" si="27"/>
        <v>#N/A</v>
      </c>
      <c r="AP21" s="26" t="e">
        <f t="shared" si="28"/>
        <v>#N/A</v>
      </c>
      <c r="AQ21" s="26" t="e">
        <f t="shared" si="29"/>
        <v>#N/A</v>
      </c>
      <c r="AR21" s="26" t="e">
        <f t="shared" si="30"/>
        <v>#N/A</v>
      </c>
      <c r="AS21" s="15" t="e">
        <f t="shared" si="31"/>
        <v>#N/A</v>
      </c>
      <c r="AT21" s="26" t="e">
        <f t="shared" si="32"/>
        <v>#N/A</v>
      </c>
      <c r="AU21" s="26" t="e">
        <f t="shared" si="33"/>
        <v>#N/A</v>
      </c>
      <c r="AV21" s="26" t="e">
        <f t="shared" si="34"/>
        <v>#N/A</v>
      </c>
      <c r="AW21" s="25">
        <v>9</v>
      </c>
      <c r="AX21" s="11" t="e">
        <f t="shared" si="35"/>
        <v>#N/A</v>
      </c>
      <c r="AY21" s="11" t="e">
        <f t="shared" si="36"/>
        <v>#N/A</v>
      </c>
      <c r="AZ21" s="11" t="e">
        <f t="shared" si="37"/>
        <v>#N/A</v>
      </c>
      <c r="BA21" s="15" t="e">
        <f t="shared" si="38"/>
        <v>#N/A</v>
      </c>
      <c r="BB21" s="26" t="e">
        <f t="shared" si="39"/>
        <v>#N/A</v>
      </c>
      <c r="BC21" s="26" t="e">
        <f t="shared" si="40"/>
        <v>#N/A</v>
      </c>
      <c r="BD21" s="26" t="e">
        <f t="shared" si="41"/>
        <v>#N/A</v>
      </c>
      <c r="BE21" s="15" t="e">
        <f t="shared" si="42"/>
        <v>#N/A</v>
      </c>
      <c r="BF21" s="26" t="e">
        <f t="shared" si="43"/>
        <v>#N/A</v>
      </c>
      <c r="BG21" s="26" t="e">
        <f t="shared" si="44"/>
        <v>#N/A</v>
      </c>
      <c r="BH21" s="26" t="e">
        <f t="shared" si="45"/>
        <v>#N/A</v>
      </c>
      <c r="BI21" s="15" t="e">
        <f t="shared" si="46"/>
        <v>#N/A</v>
      </c>
      <c r="BJ21" s="26" t="e">
        <f t="shared" si="47"/>
        <v>#N/A</v>
      </c>
      <c r="BK21" s="26" t="e">
        <f t="shared" si="48"/>
        <v>#N/A</v>
      </c>
      <c r="BL21" s="26" t="e">
        <f t="shared" si="49"/>
        <v>#N/A</v>
      </c>
      <c r="BM21" s="25">
        <v>9</v>
      </c>
      <c r="BN21" s="11" t="e">
        <f t="shared" si="50"/>
        <v>#N/A</v>
      </c>
      <c r="BO21" s="11" t="e">
        <f t="shared" si="51"/>
        <v>#N/A</v>
      </c>
      <c r="BP21" s="11" t="e">
        <f t="shared" si="52"/>
        <v>#N/A</v>
      </c>
      <c r="BQ21" s="15" t="e">
        <f t="shared" si="53"/>
        <v>#N/A</v>
      </c>
      <c r="BR21" s="26" t="e">
        <f t="shared" si="54"/>
        <v>#N/A</v>
      </c>
      <c r="BS21" s="26" t="e">
        <f t="shared" si="55"/>
        <v>#N/A</v>
      </c>
      <c r="BT21" s="26" t="e">
        <f t="shared" si="56"/>
        <v>#N/A</v>
      </c>
      <c r="BU21" s="15" t="e">
        <f t="shared" si="57"/>
        <v>#N/A</v>
      </c>
      <c r="BV21" s="26" t="e">
        <f t="shared" si="58"/>
        <v>#N/A</v>
      </c>
      <c r="BW21" s="26" t="e">
        <f t="shared" si="59"/>
        <v>#N/A</v>
      </c>
      <c r="BX21" s="26" t="e">
        <f t="shared" si="60"/>
        <v>#N/A</v>
      </c>
      <c r="BY21" s="15" t="e">
        <f t="shared" si="61"/>
        <v>#N/A</v>
      </c>
      <c r="BZ21" s="26" t="e">
        <f t="shared" si="62"/>
        <v>#N/A</v>
      </c>
      <c r="CA21" s="26" t="e">
        <f t="shared" si="63"/>
        <v>#N/A</v>
      </c>
      <c r="CB21" s="26" t="e">
        <f t="shared" si="64"/>
        <v>#N/A</v>
      </c>
      <c r="CC21" s="25">
        <v>9</v>
      </c>
      <c r="CD21" s="11" t="e">
        <f t="shared" si="65"/>
        <v>#N/A</v>
      </c>
      <c r="CE21" s="11" t="e">
        <f t="shared" si="66"/>
        <v>#N/A</v>
      </c>
      <c r="CF21" s="11" t="e">
        <f t="shared" si="67"/>
        <v>#N/A</v>
      </c>
      <c r="CG21" s="15" t="e">
        <f t="shared" si="68"/>
        <v>#N/A</v>
      </c>
      <c r="CH21" s="26" t="e">
        <f t="shared" si="69"/>
        <v>#N/A</v>
      </c>
      <c r="CI21" s="26" t="e">
        <f t="shared" si="70"/>
        <v>#N/A</v>
      </c>
      <c r="CJ21" s="26" t="e">
        <f t="shared" si="71"/>
        <v>#N/A</v>
      </c>
      <c r="CK21" s="15" t="e">
        <f t="shared" si="72"/>
        <v>#N/A</v>
      </c>
      <c r="CL21" s="26" t="e">
        <f t="shared" si="73"/>
        <v>#N/A</v>
      </c>
      <c r="CM21" s="26" t="e">
        <f t="shared" si="74"/>
        <v>#N/A</v>
      </c>
      <c r="CN21" s="26" t="e">
        <f t="shared" si="75"/>
        <v>#N/A</v>
      </c>
      <c r="CO21" s="15" t="e">
        <f t="shared" si="76"/>
        <v>#N/A</v>
      </c>
      <c r="CP21" s="26" t="e">
        <f t="shared" si="77"/>
        <v>#N/A</v>
      </c>
      <c r="CQ21" s="26" t="e">
        <f t="shared" si="78"/>
        <v>#N/A</v>
      </c>
      <c r="CR21" s="26" t="e">
        <f t="shared" si="79"/>
        <v>#N/A</v>
      </c>
    </row>
    <row r="22" spans="1:96" s="6" customFormat="1" ht="18.75" x14ac:dyDescent="0.25">
      <c r="A22" s="25">
        <v>10</v>
      </c>
      <c r="B22" s="11" t="e">
        <f t="shared" si="0"/>
        <v>#N/A</v>
      </c>
      <c r="C22" s="11" t="e">
        <f t="shared" si="1"/>
        <v>#N/A</v>
      </c>
      <c r="D22" s="11" t="e">
        <f t="shared" si="2"/>
        <v>#N/A</v>
      </c>
      <c r="E22" s="15" t="e">
        <f t="shared" si="3"/>
        <v>#N/A</v>
      </c>
      <c r="F22" s="26"/>
      <c r="G22" s="26" t="e">
        <f t="shared" si="4"/>
        <v>#N/A</v>
      </c>
      <c r="H22" s="26" t="e">
        <f t="shared" si="5"/>
        <v>#N/A</v>
      </c>
      <c r="I22" s="69"/>
      <c r="J22" s="70"/>
      <c r="K22" s="70"/>
      <c r="L22" s="70"/>
      <c r="M22" s="71"/>
      <c r="N22" s="70"/>
      <c r="O22" s="70"/>
      <c r="P22" s="70"/>
      <c r="Q22" s="25">
        <v>10</v>
      </c>
      <c r="R22" s="11" t="e">
        <f t="shared" si="6"/>
        <v>#N/A</v>
      </c>
      <c r="S22" s="11" t="e">
        <f t="shared" si="7"/>
        <v>#N/A</v>
      </c>
      <c r="T22" s="11" t="e">
        <f t="shared" si="8"/>
        <v>#N/A</v>
      </c>
      <c r="U22" s="15" t="e">
        <f t="shared" si="9"/>
        <v>#N/A</v>
      </c>
      <c r="V22" s="26" t="e">
        <f t="shared" si="10"/>
        <v>#N/A</v>
      </c>
      <c r="W22" s="26" t="e">
        <f t="shared" si="11"/>
        <v>#N/A</v>
      </c>
      <c r="X22" s="26" t="e">
        <f t="shared" si="12"/>
        <v>#N/A</v>
      </c>
      <c r="Y22" s="15" t="e">
        <f t="shared" si="13"/>
        <v>#N/A</v>
      </c>
      <c r="Z22" s="26" t="e">
        <f t="shared" si="14"/>
        <v>#N/A</v>
      </c>
      <c r="AA22" s="26" t="e">
        <f t="shared" si="15"/>
        <v>#N/A</v>
      </c>
      <c r="AB22" s="26" t="e">
        <f t="shared" si="16"/>
        <v>#N/A</v>
      </c>
      <c r="AC22" s="15" t="e">
        <f t="shared" si="17"/>
        <v>#N/A</v>
      </c>
      <c r="AD22" s="26" t="e">
        <f t="shared" si="18"/>
        <v>#N/A</v>
      </c>
      <c r="AE22" s="26" t="e">
        <f t="shared" si="19"/>
        <v>#N/A</v>
      </c>
      <c r="AF22" s="26" t="e">
        <f t="shared" si="20"/>
        <v>#N/A</v>
      </c>
      <c r="AG22" s="25">
        <v>10</v>
      </c>
      <c r="AH22" s="11" t="e">
        <f t="shared" si="80"/>
        <v>#N/A</v>
      </c>
      <c r="AI22" s="11" t="e">
        <f t="shared" si="21"/>
        <v>#N/A</v>
      </c>
      <c r="AJ22" s="11" t="e">
        <f t="shared" si="22"/>
        <v>#N/A</v>
      </c>
      <c r="AK22" s="15" t="e">
        <f t="shared" si="23"/>
        <v>#N/A</v>
      </c>
      <c r="AL22" s="26" t="e">
        <f t="shared" si="24"/>
        <v>#N/A</v>
      </c>
      <c r="AM22" s="26" t="e">
        <f t="shared" si="25"/>
        <v>#N/A</v>
      </c>
      <c r="AN22" s="26" t="e">
        <f t="shared" si="26"/>
        <v>#N/A</v>
      </c>
      <c r="AO22" s="15" t="e">
        <f t="shared" si="27"/>
        <v>#N/A</v>
      </c>
      <c r="AP22" s="26" t="e">
        <f t="shared" si="28"/>
        <v>#N/A</v>
      </c>
      <c r="AQ22" s="26" t="e">
        <f t="shared" si="29"/>
        <v>#N/A</v>
      </c>
      <c r="AR22" s="26" t="e">
        <f t="shared" si="30"/>
        <v>#N/A</v>
      </c>
      <c r="AS22" s="15" t="e">
        <f t="shared" si="31"/>
        <v>#N/A</v>
      </c>
      <c r="AT22" s="26" t="e">
        <f t="shared" si="32"/>
        <v>#N/A</v>
      </c>
      <c r="AU22" s="26" t="e">
        <f t="shared" si="33"/>
        <v>#N/A</v>
      </c>
      <c r="AV22" s="26" t="e">
        <f t="shared" si="34"/>
        <v>#N/A</v>
      </c>
      <c r="AW22" s="25">
        <v>10</v>
      </c>
      <c r="AX22" s="11" t="e">
        <f t="shared" si="35"/>
        <v>#N/A</v>
      </c>
      <c r="AY22" s="11" t="e">
        <f t="shared" si="36"/>
        <v>#N/A</v>
      </c>
      <c r="AZ22" s="11" t="e">
        <f t="shared" si="37"/>
        <v>#N/A</v>
      </c>
      <c r="BA22" s="15" t="e">
        <f t="shared" si="38"/>
        <v>#N/A</v>
      </c>
      <c r="BB22" s="26" t="e">
        <f t="shared" si="39"/>
        <v>#N/A</v>
      </c>
      <c r="BC22" s="26" t="e">
        <f t="shared" si="40"/>
        <v>#N/A</v>
      </c>
      <c r="BD22" s="26" t="e">
        <f t="shared" si="41"/>
        <v>#N/A</v>
      </c>
      <c r="BE22" s="15" t="e">
        <f t="shared" si="42"/>
        <v>#N/A</v>
      </c>
      <c r="BF22" s="26" t="e">
        <f t="shared" si="43"/>
        <v>#N/A</v>
      </c>
      <c r="BG22" s="26" t="e">
        <f t="shared" si="44"/>
        <v>#N/A</v>
      </c>
      <c r="BH22" s="26" t="e">
        <f t="shared" si="45"/>
        <v>#N/A</v>
      </c>
      <c r="BI22" s="15" t="e">
        <f t="shared" si="46"/>
        <v>#N/A</v>
      </c>
      <c r="BJ22" s="26" t="e">
        <f t="shared" si="47"/>
        <v>#N/A</v>
      </c>
      <c r="BK22" s="26" t="e">
        <f t="shared" si="48"/>
        <v>#N/A</v>
      </c>
      <c r="BL22" s="26" t="e">
        <f t="shared" si="49"/>
        <v>#N/A</v>
      </c>
      <c r="BM22" s="25">
        <v>10</v>
      </c>
      <c r="BN22" s="11" t="e">
        <f t="shared" si="50"/>
        <v>#N/A</v>
      </c>
      <c r="BO22" s="11" t="e">
        <f t="shared" si="51"/>
        <v>#N/A</v>
      </c>
      <c r="BP22" s="11" t="e">
        <f t="shared" si="52"/>
        <v>#N/A</v>
      </c>
      <c r="BQ22" s="15" t="e">
        <f t="shared" si="53"/>
        <v>#N/A</v>
      </c>
      <c r="BR22" s="26" t="e">
        <f t="shared" si="54"/>
        <v>#N/A</v>
      </c>
      <c r="BS22" s="26" t="e">
        <f t="shared" si="55"/>
        <v>#N/A</v>
      </c>
      <c r="BT22" s="26" t="e">
        <f t="shared" si="56"/>
        <v>#N/A</v>
      </c>
      <c r="BU22" s="15" t="e">
        <f t="shared" si="57"/>
        <v>#N/A</v>
      </c>
      <c r="BV22" s="26" t="e">
        <f t="shared" si="58"/>
        <v>#N/A</v>
      </c>
      <c r="BW22" s="26" t="e">
        <f t="shared" si="59"/>
        <v>#N/A</v>
      </c>
      <c r="BX22" s="26" t="e">
        <f t="shared" si="60"/>
        <v>#N/A</v>
      </c>
      <c r="BY22" s="15" t="e">
        <f t="shared" si="61"/>
        <v>#N/A</v>
      </c>
      <c r="BZ22" s="26" t="e">
        <f t="shared" si="62"/>
        <v>#N/A</v>
      </c>
      <c r="CA22" s="26" t="e">
        <f t="shared" si="63"/>
        <v>#N/A</v>
      </c>
      <c r="CB22" s="26" t="e">
        <f t="shared" si="64"/>
        <v>#N/A</v>
      </c>
      <c r="CC22" s="25">
        <v>10</v>
      </c>
      <c r="CD22" s="11" t="e">
        <f t="shared" si="65"/>
        <v>#N/A</v>
      </c>
      <c r="CE22" s="11" t="e">
        <f t="shared" si="66"/>
        <v>#N/A</v>
      </c>
      <c r="CF22" s="11" t="e">
        <f t="shared" si="67"/>
        <v>#N/A</v>
      </c>
      <c r="CG22" s="15" t="e">
        <f t="shared" si="68"/>
        <v>#N/A</v>
      </c>
      <c r="CH22" s="26" t="e">
        <f t="shared" si="69"/>
        <v>#N/A</v>
      </c>
      <c r="CI22" s="26" t="e">
        <f t="shared" si="70"/>
        <v>#N/A</v>
      </c>
      <c r="CJ22" s="26" t="e">
        <f t="shared" si="71"/>
        <v>#N/A</v>
      </c>
      <c r="CK22" s="15" t="e">
        <f t="shared" si="72"/>
        <v>#N/A</v>
      </c>
      <c r="CL22" s="26" t="e">
        <f t="shared" si="73"/>
        <v>#N/A</v>
      </c>
      <c r="CM22" s="26" t="e">
        <f t="shared" si="74"/>
        <v>#N/A</v>
      </c>
      <c r="CN22" s="26" t="e">
        <f t="shared" si="75"/>
        <v>#N/A</v>
      </c>
      <c r="CO22" s="15" t="e">
        <f t="shared" si="76"/>
        <v>#N/A</v>
      </c>
      <c r="CP22" s="26" t="e">
        <f t="shared" si="77"/>
        <v>#N/A</v>
      </c>
      <c r="CQ22" s="26" t="e">
        <f t="shared" si="78"/>
        <v>#N/A</v>
      </c>
      <c r="CR22" s="26" t="e">
        <f t="shared" si="79"/>
        <v>#N/A</v>
      </c>
    </row>
    <row r="23" spans="1:96" s="6" customFormat="1" ht="18.75" x14ac:dyDescent="0.25">
      <c r="A23" s="25">
        <v>11</v>
      </c>
      <c r="B23" s="11" t="e">
        <f t="shared" si="0"/>
        <v>#N/A</v>
      </c>
      <c r="C23" s="11" t="e">
        <f t="shared" si="1"/>
        <v>#N/A</v>
      </c>
      <c r="D23" s="11" t="e">
        <f t="shared" si="2"/>
        <v>#N/A</v>
      </c>
      <c r="E23" s="15" t="e">
        <f t="shared" si="3"/>
        <v>#N/A</v>
      </c>
      <c r="F23" s="26"/>
      <c r="G23" s="26" t="e">
        <f t="shared" si="4"/>
        <v>#N/A</v>
      </c>
      <c r="H23" s="26" t="e">
        <f t="shared" si="5"/>
        <v>#N/A</v>
      </c>
      <c r="I23" s="69"/>
      <c r="J23" s="70"/>
      <c r="K23" s="70"/>
      <c r="L23" s="70"/>
      <c r="M23" s="71"/>
      <c r="N23" s="70"/>
      <c r="O23" s="70"/>
      <c r="P23" s="70"/>
      <c r="Q23" s="25">
        <v>11</v>
      </c>
      <c r="R23" s="11" t="e">
        <f t="shared" si="6"/>
        <v>#N/A</v>
      </c>
      <c r="S23" s="11" t="e">
        <f t="shared" si="7"/>
        <v>#N/A</v>
      </c>
      <c r="T23" s="11" t="e">
        <f t="shared" si="8"/>
        <v>#N/A</v>
      </c>
      <c r="U23" s="15" t="e">
        <f t="shared" si="9"/>
        <v>#N/A</v>
      </c>
      <c r="V23" s="26" t="e">
        <f t="shared" si="10"/>
        <v>#N/A</v>
      </c>
      <c r="W23" s="26" t="e">
        <f t="shared" si="11"/>
        <v>#N/A</v>
      </c>
      <c r="X23" s="26" t="e">
        <f t="shared" si="12"/>
        <v>#N/A</v>
      </c>
      <c r="Y23" s="15" t="e">
        <f t="shared" si="13"/>
        <v>#N/A</v>
      </c>
      <c r="Z23" s="26" t="e">
        <f t="shared" si="14"/>
        <v>#N/A</v>
      </c>
      <c r="AA23" s="26" t="e">
        <f t="shared" si="15"/>
        <v>#N/A</v>
      </c>
      <c r="AB23" s="26" t="e">
        <f t="shared" si="16"/>
        <v>#N/A</v>
      </c>
      <c r="AC23" s="15" t="e">
        <f t="shared" si="17"/>
        <v>#N/A</v>
      </c>
      <c r="AD23" s="26" t="e">
        <f t="shared" si="18"/>
        <v>#N/A</v>
      </c>
      <c r="AE23" s="26" t="e">
        <f t="shared" si="19"/>
        <v>#N/A</v>
      </c>
      <c r="AF23" s="26" t="e">
        <f t="shared" si="20"/>
        <v>#N/A</v>
      </c>
      <c r="AG23" s="25">
        <v>11</v>
      </c>
      <c r="AH23" s="11" t="e">
        <f t="shared" si="80"/>
        <v>#N/A</v>
      </c>
      <c r="AI23" s="11" t="e">
        <f t="shared" si="21"/>
        <v>#N/A</v>
      </c>
      <c r="AJ23" s="11" t="e">
        <f t="shared" si="22"/>
        <v>#N/A</v>
      </c>
      <c r="AK23" s="15" t="e">
        <f t="shared" si="23"/>
        <v>#N/A</v>
      </c>
      <c r="AL23" s="26" t="e">
        <f t="shared" si="24"/>
        <v>#N/A</v>
      </c>
      <c r="AM23" s="26" t="e">
        <f t="shared" si="25"/>
        <v>#N/A</v>
      </c>
      <c r="AN23" s="26" t="e">
        <f t="shared" si="26"/>
        <v>#N/A</v>
      </c>
      <c r="AO23" s="15" t="e">
        <f t="shared" si="27"/>
        <v>#N/A</v>
      </c>
      <c r="AP23" s="26" t="e">
        <f t="shared" si="28"/>
        <v>#N/A</v>
      </c>
      <c r="AQ23" s="26" t="e">
        <f t="shared" si="29"/>
        <v>#N/A</v>
      </c>
      <c r="AR23" s="26" t="e">
        <f t="shared" si="30"/>
        <v>#N/A</v>
      </c>
      <c r="AS23" s="15" t="e">
        <f t="shared" si="31"/>
        <v>#N/A</v>
      </c>
      <c r="AT23" s="26" t="e">
        <f t="shared" si="32"/>
        <v>#N/A</v>
      </c>
      <c r="AU23" s="26" t="e">
        <f t="shared" si="33"/>
        <v>#N/A</v>
      </c>
      <c r="AV23" s="26" t="e">
        <f t="shared" si="34"/>
        <v>#N/A</v>
      </c>
      <c r="AW23" s="25">
        <v>11</v>
      </c>
      <c r="AX23" s="11" t="e">
        <f t="shared" si="35"/>
        <v>#N/A</v>
      </c>
      <c r="AY23" s="11" t="e">
        <f t="shared" si="36"/>
        <v>#N/A</v>
      </c>
      <c r="AZ23" s="11" t="e">
        <f t="shared" si="37"/>
        <v>#N/A</v>
      </c>
      <c r="BA23" s="15" t="e">
        <f t="shared" si="38"/>
        <v>#N/A</v>
      </c>
      <c r="BB23" s="26" t="e">
        <f t="shared" si="39"/>
        <v>#N/A</v>
      </c>
      <c r="BC23" s="26" t="e">
        <f t="shared" si="40"/>
        <v>#N/A</v>
      </c>
      <c r="BD23" s="26" t="e">
        <f t="shared" si="41"/>
        <v>#N/A</v>
      </c>
      <c r="BE23" s="15" t="e">
        <f t="shared" si="42"/>
        <v>#N/A</v>
      </c>
      <c r="BF23" s="26" t="e">
        <f t="shared" si="43"/>
        <v>#N/A</v>
      </c>
      <c r="BG23" s="26" t="e">
        <f t="shared" si="44"/>
        <v>#N/A</v>
      </c>
      <c r="BH23" s="26" t="e">
        <f t="shared" si="45"/>
        <v>#N/A</v>
      </c>
      <c r="BI23" s="15" t="e">
        <f t="shared" si="46"/>
        <v>#N/A</v>
      </c>
      <c r="BJ23" s="26" t="e">
        <f t="shared" si="47"/>
        <v>#N/A</v>
      </c>
      <c r="BK23" s="26" t="e">
        <f t="shared" si="48"/>
        <v>#N/A</v>
      </c>
      <c r="BL23" s="26" t="e">
        <f t="shared" si="49"/>
        <v>#N/A</v>
      </c>
      <c r="BM23" s="25">
        <v>11</v>
      </c>
      <c r="BN23" s="11" t="e">
        <f t="shared" si="50"/>
        <v>#N/A</v>
      </c>
      <c r="BO23" s="11" t="e">
        <f t="shared" si="51"/>
        <v>#N/A</v>
      </c>
      <c r="BP23" s="11" t="e">
        <f t="shared" si="52"/>
        <v>#N/A</v>
      </c>
      <c r="BQ23" s="15" t="e">
        <f t="shared" si="53"/>
        <v>#N/A</v>
      </c>
      <c r="BR23" s="26" t="e">
        <f t="shared" si="54"/>
        <v>#N/A</v>
      </c>
      <c r="BS23" s="26" t="e">
        <f t="shared" si="55"/>
        <v>#N/A</v>
      </c>
      <c r="BT23" s="26" t="e">
        <f t="shared" si="56"/>
        <v>#N/A</v>
      </c>
      <c r="BU23" s="15" t="e">
        <f t="shared" si="57"/>
        <v>#N/A</v>
      </c>
      <c r="BV23" s="26" t="e">
        <f t="shared" si="58"/>
        <v>#N/A</v>
      </c>
      <c r="BW23" s="26" t="e">
        <f t="shared" si="59"/>
        <v>#N/A</v>
      </c>
      <c r="BX23" s="26" t="e">
        <f t="shared" si="60"/>
        <v>#N/A</v>
      </c>
      <c r="BY23" s="15" t="e">
        <f t="shared" si="61"/>
        <v>#N/A</v>
      </c>
      <c r="BZ23" s="26" t="e">
        <f t="shared" si="62"/>
        <v>#N/A</v>
      </c>
      <c r="CA23" s="26" t="e">
        <f t="shared" si="63"/>
        <v>#N/A</v>
      </c>
      <c r="CB23" s="26" t="e">
        <f t="shared" si="64"/>
        <v>#N/A</v>
      </c>
      <c r="CC23" s="25">
        <v>11</v>
      </c>
      <c r="CD23" s="11" t="e">
        <f t="shared" si="65"/>
        <v>#N/A</v>
      </c>
      <c r="CE23" s="11" t="e">
        <f t="shared" si="66"/>
        <v>#N/A</v>
      </c>
      <c r="CF23" s="11" t="e">
        <f t="shared" si="67"/>
        <v>#N/A</v>
      </c>
      <c r="CG23" s="15" t="e">
        <f t="shared" si="68"/>
        <v>#N/A</v>
      </c>
      <c r="CH23" s="26" t="e">
        <f t="shared" si="69"/>
        <v>#N/A</v>
      </c>
      <c r="CI23" s="26" t="e">
        <f t="shared" si="70"/>
        <v>#N/A</v>
      </c>
      <c r="CJ23" s="26" t="e">
        <f t="shared" si="71"/>
        <v>#N/A</v>
      </c>
      <c r="CK23" s="15" t="e">
        <f t="shared" si="72"/>
        <v>#N/A</v>
      </c>
      <c r="CL23" s="26" t="e">
        <f t="shared" si="73"/>
        <v>#N/A</v>
      </c>
      <c r="CM23" s="26" t="e">
        <f t="shared" si="74"/>
        <v>#N/A</v>
      </c>
      <c r="CN23" s="26" t="e">
        <f t="shared" si="75"/>
        <v>#N/A</v>
      </c>
      <c r="CO23" s="15" t="e">
        <f t="shared" si="76"/>
        <v>#N/A</v>
      </c>
      <c r="CP23" s="26" t="e">
        <f t="shared" si="77"/>
        <v>#N/A</v>
      </c>
      <c r="CQ23" s="26" t="e">
        <f t="shared" si="78"/>
        <v>#N/A</v>
      </c>
      <c r="CR23" s="26" t="e">
        <f t="shared" si="79"/>
        <v>#N/A</v>
      </c>
    </row>
    <row r="24" spans="1:96" s="6" customFormat="1" ht="18.75" x14ac:dyDescent="0.25">
      <c r="A24" s="25">
        <v>12</v>
      </c>
      <c r="B24" s="11" t="e">
        <f t="shared" si="0"/>
        <v>#N/A</v>
      </c>
      <c r="C24" s="11" t="e">
        <f t="shared" si="1"/>
        <v>#N/A</v>
      </c>
      <c r="D24" s="11" t="e">
        <f t="shared" si="2"/>
        <v>#N/A</v>
      </c>
      <c r="E24" s="15" t="e">
        <f t="shared" si="3"/>
        <v>#N/A</v>
      </c>
      <c r="F24" s="26"/>
      <c r="G24" s="26" t="e">
        <f t="shared" si="4"/>
        <v>#N/A</v>
      </c>
      <c r="H24" s="26" t="e">
        <f t="shared" si="5"/>
        <v>#N/A</v>
      </c>
      <c r="I24" s="69"/>
      <c r="J24" s="70"/>
      <c r="K24" s="70"/>
      <c r="L24" s="70"/>
      <c r="M24" s="71"/>
      <c r="N24" s="70"/>
      <c r="O24" s="70"/>
      <c r="P24" s="70"/>
      <c r="Q24" s="25">
        <v>12</v>
      </c>
      <c r="R24" s="11" t="e">
        <f t="shared" si="6"/>
        <v>#N/A</v>
      </c>
      <c r="S24" s="11" t="e">
        <f t="shared" si="7"/>
        <v>#N/A</v>
      </c>
      <c r="T24" s="11" t="e">
        <f t="shared" si="8"/>
        <v>#N/A</v>
      </c>
      <c r="U24" s="15" t="e">
        <f t="shared" si="9"/>
        <v>#N/A</v>
      </c>
      <c r="V24" s="26" t="e">
        <f t="shared" si="10"/>
        <v>#N/A</v>
      </c>
      <c r="W24" s="26" t="e">
        <f t="shared" si="11"/>
        <v>#N/A</v>
      </c>
      <c r="X24" s="26" t="e">
        <f t="shared" si="12"/>
        <v>#N/A</v>
      </c>
      <c r="Y24" s="15" t="e">
        <f t="shared" si="13"/>
        <v>#N/A</v>
      </c>
      <c r="Z24" s="26" t="e">
        <f t="shared" si="14"/>
        <v>#N/A</v>
      </c>
      <c r="AA24" s="26" t="e">
        <f t="shared" si="15"/>
        <v>#N/A</v>
      </c>
      <c r="AB24" s="26" t="e">
        <f t="shared" si="16"/>
        <v>#N/A</v>
      </c>
      <c r="AC24" s="15" t="e">
        <f t="shared" si="17"/>
        <v>#N/A</v>
      </c>
      <c r="AD24" s="26" t="e">
        <f t="shared" si="18"/>
        <v>#N/A</v>
      </c>
      <c r="AE24" s="26" t="e">
        <f t="shared" si="19"/>
        <v>#N/A</v>
      </c>
      <c r="AF24" s="26" t="e">
        <f t="shared" si="20"/>
        <v>#N/A</v>
      </c>
      <c r="AG24" s="25">
        <v>12</v>
      </c>
      <c r="AH24" s="11" t="e">
        <f t="shared" si="80"/>
        <v>#N/A</v>
      </c>
      <c r="AI24" s="11" t="e">
        <f t="shared" si="21"/>
        <v>#N/A</v>
      </c>
      <c r="AJ24" s="11" t="e">
        <f t="shared" si="22"/>
        <v>#N/A</v>
      </c>
      <c r="AK24" s="15" t="e">
        <f t="shared" si="23"/>
        <v>#N/A</v>
      </c>
      <c r="AL24" s="26" t="e">
        <f t="shared" si="24"/>
        <v>#N/A</v>
      </c>
      <c r="AM24" s="26" t="e">
        <f t="shared" si="25"/>
        <v>#N/A</v>
      </c>
      <c r="AN24" s="26" t="e">
        <f t="shared" si="26"/>
        <v>#N/A</v>
      </c>
      <c r="AO24" s="15" t="e">
        <f t="shared" si="27"/>
        <v>#N/A</v>
      </c>
      <c r="AP24" s="26" t="e">
        <f t="shared" si="28"/>
        <v>#N/A</v>
      </c>
      <c r="AQ24" s="26" t="e">
        <f t="shared" si="29"/>
        <v>#N/A</v>
      </c>
      <c r="AR24" s="26" t="e">
        <f t="shared" si="30"/>
        <v>#N/A</v>
      </c>
      <c r="AS24" s="15" t="e">
        <f t="shared" si="31"/>
        <v>#N/A</v>
      </c>
      <c r="AT24" s="26" t="e">
        <f t="shared" si="32"/>
        <v>#N/A</v>
      </c>
      <c r="AU24" s="26" t="e">
        <f t="shared" si="33"/>
        <v>#N/A</v>
      </c>
      <c r="AV24" s="26" t="e">
        <f t="shared" si="34"/>
        <v>#N/A</v>
      </c>
      <c r="AW24" s="25">
        <v>12</v>
      </c>
      <c r="AX24" s="11" t="e">
        <f t="shared" si="35"/>
        <v>#N/A</v>
      </c>
      <c r="AY24" s="11" t="e">
        <f t="shared" si="36"/>
        <v>#N/A</v>
      </c>
      <c r="AZ24" s="11" t="e">
        <f t="shared" si="37"/>
        <v>#N/A</v>
      </c>
      <c r="BA24" s="15" t="e">
        <f t="shared" si="38"/>
        <v>#N/A</v>
      </c>
      <c r="BB24" s="26" t="e">
        <f t="shared" si="39"/>
        <v>#N/A</v>
      </c>
      <c r="BC24" s="26" t="e">
        <f t="shared" si="40"/>
        <v>#N/A</v>
      </c>
      <c r="BD24" s="26" t="e">
        <f t="shared" si="41"/>
        <v>#N/A</v>
      </c>
      <c r="BE24" s="15" t="e">
        <f t="shared" si="42"/>
        <v>#N/A</v>
      </c>
      <c r="BF24" s="26" t="e">
        <f t="shared" si="43"/>
        <v>#N/A</v>
      </c>
      <c r="BG24" s="26" t="e">
        <f t="shared" si="44"/>
        <v>#N/A</v>
      </c>
      <c r="BH24" s="26" t="e">
        <f t="shared" si="45"/>
        <v>#N/A</v>
      </c>
      <c r="BI24" s="15" t="e">
        <f t="shared" si="46"/>
        <v>#N/A</v>
      </c>
      <c r="BJ24" s="26" t="e">
        <f t="shared" si="47"/>
        <v>#N/A</v>
      </c>
      <c r="BK24" s="26" t="e">
        <f t="shared" si="48"/>
        <v>#N/A</v>
      </c>
      <c r="BL24" s="26" t="e">
        <f t="shared" si="49"/>
        <v>#N/A</v>
      </c>
      <c r="BM24" s="25">
        <v>12</v>
      </c>
      <c r="BN24" s="11" t="e">
        <f t="shared" si="50"/>
        <v>#N/A</v>
      </c>
      <c r="BO24" s="11" t="e">
        <f t="shared" si="51"/>
        <v>#N/A</v>
      </c>
      <c r="BP24" s="11" t="e">
        <f t="shared" si="52"/>
        <v>#N/A</v>
      </c>
      <c r="BQ24" s="15" t="e">
        <f t="shared" si="53"/>
        <v>#N/A</v>
      </c>
      <c r="BR24" s="26" t="e">
        <f t="shared" si="54"/>
        <v>#N/A</v>
      </c>
      <c r="BS24" s="26" t="e">
        <f t="shared" si="55"/>
        <v>#N/A</v>
      </c>
      <c r="BT24" s="26" t="e">
        <f t="shared" si="56"/>
        <v>#N/A</v>
      </c>
      <c r="BU24" s="15" t="e">
        <f t="shared" si="57"/>
        <v>#N/A</v>
      </c>
      <c r="BV24" s="26" t="e">
        <f t="shared" si="58"/>
        <v>#N/A</v>
      </c>
      <c r="BW24" s="26" t="e">
        <f t="shared" si="59"/>
        <v>#N/A</v>
      </c>
      <c r="BX24" s="26" t="e">
        <f t="shared" si="60"/>
        <v>#N/A</v>
      </c>
      <c r="BY24" s="15" t="e">
        <f t="shared" si="61"/>
        <v>#N/A</v>
      </c>
      <c r="BZ24" s="26" t="e">
        <f t="shared" si="62"/>
        <v>#N/A</v>
      </c>
      <c r="CA24" s="26" t="e">
        <f t="shared" si="63"/>
        <v>#N/A</v>
      </c>
      <c r="CB24" s="26" t="e">
        <f t="shared" si="64"/>
        <v>#N/A</v>
      </c>
      <c r="CC24" s="25">
        <v>12</v>
      </c>
      <c r="CD24" s="11" t="e">
        <f t="shared" si="65"/>
        <v>#N/A</v>
      </c>
      <c r="CE24" s="11" t="e">
        <f t="shared" si="66"/>
        <v>#N/A</v>
      </c>
      <c r="CF24" s="11" t="e">
        <f t="shared" si="67"/>
        <v>#N/A</v>
      </c>
      <c r="CG24" s="15" t="e">
        <f t="shared" si="68"/>
        <v>#N/A</v>
      </c>
      <c r="CH24" s="26" t="e">
        <f t="shared" si="69"/>
        <v>#N/A</v>
      </c>
      <c r="CI24" s="26" t="e">
        <f t="shared" si="70"/>
        <v>#N/A</v>
      </c>
      <c r="CJ24" s="26" t="e">
        <f t="shared" si="71"/>
        <v>#N/A</v>
      </c>
      <c r="CK24" s="15" t="e">
        <f t="shared" si="72"/>
        <v>#N/A</v>
      </c>
      <c r="CL24" s="26" t="e">
        <f t="shared" si="73"/>
        <v>#N/A</v>
      </c>
      <c r="CM24" s="26" t="e">
        <f t="shared" si="74"/>
        <v>#N/A</v>
      </c>
      <c r="CN24" s="26" t="e">
        <f t="shared" si="75"/>
        <v>#N/A</v>
      </c>
      <c r="CO24" s="15" t="e">
        <f t="shared" si="76"/>
        <v>#N/A</v>
      </c>
      <c r="CP24" s="26" t="e">
        <f t="shared" si="77"/>
        <v>#N/A</v>
      </c>
      <c r="CQ24" s="26" t="e">
        <f t="shared" si="78"/>
        <v>#N/A</v>
      </c>
      <c r="CR24" s="26" t="e">
        <f t="shared" si="79"/>
        <v>#N/A</v>
      </c>
    </row>
    <row r="25" spans="1:96" s="6" customFormat="1" ht="18.75" x14ac:dyDescent="0.25">
      <c r="A25" s="25">
        <v>13</v>
      </c>
      <c r="B25" s="11" t="e">
        <f t="shared" si="0"/>
        <v>#N/A</v>
      </c>
      <c r="C25" s="11" t="e">
        <f t="shared" si="1"/>
        <v>#N/A</v>
      </c>
      <c r="D25" s="11" t="e">
        <f t="shared" si="2"/>
        <v>#N/A</v>
      </c>
      <c r="E25" s="15" t="e">
        <f t="shared" si="3"/>
        <v>#N/A</v>
      </c>
      <c r="F25" s="26"/>
      <c r="G25" s="26" t="e">
        <f t="shared" si="4"/>
        <v>#N/A</v>
      </c>
      <c r="H25" s="26" t="e">
        <f t="shared" si="5"/>
        <v>#N/A</v>
      </c>
      <c r="I25" s="69"/>
      <c r="J25" s="70"/>
      <c r="K25" s="70"/>
      <c r="L25" s="70"/>
      <c r="M25" s="71"/>
      <c r="N25" s="70"/>
      <c r="O25" s="70"/>
      <c r="P25" s="70"/>
      <c r="Q25" s="25">
        <v>13</v>
      </c>
      <c r="R25" s="11" t="e">
        <f t="shared" si="6"/>
        <v>#N/A</v>
      </c>
      <c r="S25" s="11" t="e">
        <f t="shared" si="7"/>
        <v>#N/A</v>
      </c>
      <c r="T25" s="11" t="e">
        <f t="shared" si="8"/>
        <v>#N/A</v>
      </c>
      <c r="U25" s="15" t="e">
        <f t="shared" si="9"/>
        <v>#N/A</v>
      </c>
      <c r="V25" s="26" t="e">
        <f t="shared" si="10"/>
        <v>#N/A</v>
      </c>
      <c r="W25" s="26" t="e">
        <f t="shared" si="11"/>
        <v>#N/A</v>
      </c>
      <c r="X25" s="26" t="e">
        <f t="shared" si="12"/>
        <v>#N/A</v>
      </c>
      <c r="Y25" s="15" t="e">
        <f t="shared" si="13"/>
        <v>#N/A</v>
      </c>
      <c r="Z25" s="26" t="e">
        <f t="shared" si="14"/>
        <v>#N/A</v>
      </c>
      <c r="AA25" s="26" t="e">
        <f t="shared" si="15"/>
        <v>#N/A</v>
      </c>
      <c r="AB25" s="26" t="e">
        <f t="shared" si="16"/>
        <v>#N/A</v>
      </c>
      <c r="AC25" s="15" t="e">
        <f t="shared" si="17"/>
        <v>#N/A</v>
      </c>
      <c r="AD25" s="26" t="e">
        <f t="shared" si="18"/>
        <v>#N/A</v>
      </c>
      <c r="AE25" s="26" t="e">
        <f t="shared" si="19"/>
        <v>#N/A</v>
      </c>
      <c r="AF25" s="26" t="e">
        <f t="shared" si="20"/>
        <v>#N/A</v>
      </c>
      <c r="AG25" s="25">
        <v>13</v>
      </c>
      <c r="AH25" s="11" t="e">
        <f t="shared" si="80"/>
        <v>#N/A</v>
      </c>
      <c r="AI25" s="11" t="e">
        <f t="shared" si="21"/>
        <v>#N/A</v>
      </c>
      <c r="AJ25" s="11" t="e">
        <f t="shared" si="22"/>
        <v>#N/A</v>
      </c>
      <c r="AK25" s="15" t="e">
        <f t="shared" si="23"/>
        <v>#N/A</v>
      </c>
      <c r="AL25" s="26" t="e">
        <f t="shared" si="24"/>
        <v>#N/A</v>
      </c>
      <c r="AM25" s="26" t="e">
        <f t="shared" si="25"/>
        <v>#N/A</v>
      </c>
      <c r="AN25" s="26" t="e">
        <f t="shared" si="26"/>
        <v>#N/A</v>
      </c>
      <c r="AO25" s="15" t="e">
        <f t="shared" si="27"/>
        <v>#N/A</v>
      </c>
      <c r="AP25" s="26" t="e">
        <f t="shared" si="28"/>
        <v>#N/A</v>
      </c>
      <c r="AQ25" s="26" t="e">
        <f t="shared" si="29"/>
        <v>#N/A</v>
      </c>
      <c r="AR25" s="26" t="e">
        <f t="shared" si="30"/>
        <v>#N/A</v>
      </c>
      <c r="AS25" s="15" t="e">
        <f t="shared" si="31"/>
        <v>#N/A</v>
      </c>
      <c r="AT25" s="26" t="e">
        <f t="shared" si="32"/>
        <v>#N/A</v>
      </c>
      <c r="AU25" s="26" t="e">
        <f t="shared" si="33"/>
        <v>#N/A</v>
      </c>
      <c r="AV25" s="26" t="e">
        <f t="shared" si="34"/>
        <v>#N/A</v>
      </c>
      <c r="AW25" s="25">
        <v>13</v>
      </c>
      <c r="AX25" s="11" t="e">
        <f t="shared" si="35"/>
        <v>#N/A</v>
      </c>
      <c r="AY25" s="11" t="e">
        <f t="shared" si="36"/>
        <v>#N/A</v>
      </c>
      <c r="AZ25" s="11" t="e">
        <f t="shared" si="37"/>
        <v>#N/A</v>
      </c>
      <c r="BA25" s="15" t="e">
        <f t="shared" si="38"/>
        <v>#N/A</v>
      </c>
      <c r="BB25" s="26" t="e">
        <f t="shared" si="39"/>
        <v>#N/A</v>
      </c>
      <c r="BC25" s="26" t="e">
        <f t="shared" si="40"/>
        <v>#N/A</v>
      </c>
      <c r="BD25" s="26" t="e">
        <f t="shared" si="41"/>
        <v>#N/A</v>
      </c>
      <c r="BE25" s="15" t="e">
        <f t="shared" si="42"/>
        <v>#N/A</v>
      </c>
      <c r="BF25" s="26" t="e">
        <f t="shared" si="43"/>
        <v>#N/A</v>
      </c>
      <c r="BG25" s="26" t="e">
        <f t="shared" si="44"/>
        <v>#N/A</v>
      </c>
      <c r="BH25" s="26" t="e">
        <f t="shared" si="45"/>
        <v>#N/A</v>
      </c>
      <c r="BI25" s="15" t="e">
        <f t="shared" si="46"/>
        <v>#N/A</v>
      </c>
      <c r="BJ25" s="26" t="e">
        <f t="shared" si="47"/>
        <v>#N/A</v>
      </c>
      <c r="BK25" s="26" t="e">
        <f t="shared" si="48"/>
        <v>#N/A</v>
      </c>
      <c r="BL25" s="26" t="e">
        <f t="shared" si="49"/>
        <v>#N/A</v>
      </c>
      <c r="BM25" s="25">
        <v>13</v>
      </c>
      <c r="BN25" s="11" t="e">
        <f t="shared" si="50"/>
        <v>#N/A</v>
      </c>
      <c r="BO25" s="11" t="e">
        <f t="shared" si="51"/>
        <v>#N/A</v>
      </c>
      <c r="BP25" s="11" t="e">
        <f t="shared" si="52"/>
        <v>#N/A</v>
      </c>
      <c r="BQ25" s="15" t="e">
        <f t="shared" si="53"/>
        <v>#N/A</v>
      </c>
      <c r="BR25" s="26" t="e">
        <f t="shared" si="54"/>
        <v>#N/A</v>
      </c>
      <c r="BS25" s="26" t="e">
        <f t="shared" si="55"/>
        <v>#N/A</v>
      </c>
      <c r="BT25" s="26" t="e">
        <f t="shared" si="56"/>
        <v>#N/A</v>
      </c>
      <c r="BU25" s="15" t="e">
        <f t="shared" si="57"/>
        <v>#N/A</v>
      </c>
      <c r="BV25" s="26" t="e">
        <f t="shared" si="58"/>
        <v>#N/A</v>
      </c>
      <c r="BW25" s="26" t="e">
        <f t="shared" si="59"/>
        <v>#N/A</v>
      </c>
      <c r="BX25" s="26" t="e">
        <f t="shared" si="60"/>
        <v>#N/A</v>
      </c>
      <c r="BY25" s="15" t="e">
        <f t="shared" si="61"/>
        <v>#N/A</v>
      </c>
      <c r="BZ25" s="26" t="e">
        <f t="shared" si="62"/>
        <v>#N/A</v>
      </c>
      <c r="CA25" s="26" t="e">
        <f t="shared" si="63"/>
        <v>#N/A</v>
      </c>
      <c r="CB25" s="26" t="e">
        <f t="shared" si="64"/>
        <v>#N/A</v>
      </c>
      <c r="CC25" s="25">
        <v>13</v>
      </c>
      <c r="CD25" s="11" t="e">
        <f t="shared" si="65"/>
        <v>#N/A</v>
      </c>
      <c r="CE25" s="11" t="e">
        <f t="shared" si="66"/>
        <v>#N/A</v>
      </c>
      <c r="CF25" s="11" t="e">
        <f t="shared" si="67"/>
        <v>#N/A</v>
      </c>
      <c r="CG25" s="15" t="e">
        <f t="shared" si="68"/>
        <v>#N/A</v>
      </c>
      <c r="CH25" s="26" t="e">
        <f t="shared" si="69"/>
        <v>#N/A</v>
      </c>
      <c r="CI25" s="26" t="e">
        <f t="shared" si="70"/>
        <v>#N/A</v>
      </c>
      <c r="CJ25" s="26" t="e">
        <f t="shared" si="71"/>
        <v>#N/A</v>
      </c>
      <c r="CK25" s="15" t="e">
        <f t="shared" si="72"/>
        <v>#N/A</v>
      </c>
      <c r="CL25" s="26" t="e">
        <f t="shared" si="73"/>
        <v>#N/A</v>
      </c>
      <c r="CM25" s="26" t="e">
        <f t="shared" si="74"/>
        <v>#N/A</v>
      </c>
      <c r="CN25" s="26" t="e">
        <f t="shared" si="75"/>
        <v>#N/A</v>
      </c>
      <c r="CO25" s="15" t="e">
        <f t="shared" si="76"/>
        <v>#N/A</v>
      </c>
      <c r="CP25" s="26" t="e">
        <f t="shared" si="77"/>
        <v>#N/A</v>
      </c>
      <c r="CQ25" s="26" t="e">
        <f t="shared" si="78"/>
        <v>#N/A</v>
      </c>
      <c r="CR25" s="26" t="e">
        <f t="shared" si="79"/>
        <v>#N/A</v>
      </c>
    </row>
    <row r="26" spans="1:96" s="6" customFormat="1" ht="18.75" x14ac:dyDescent="0.25">
      <c r="A26" s="25">
        <v>14</v>
      </c>
      <c r="B26" s="11" t="e">
        <f t="shared" si="0"/>
        <v>#N/A</v>
      </c>
      <c r="C26" s="11" t="e">
        <f t="shared" si="1"/>
        <v>#N/A</v>
      </c>
      <c r="D26" s="11" t="e">
        <f t="shared" si="2"/>
        <v>#N/A</v>
      </c>
      <c r="E26" s="15" t="e">
        <f t="shared" si="3"/>
        <v>#N/A</v>
      </c>
      <c r="F26" s="26"/>
      <c r="G26" s="26" t="e">
        <f t="shared" si="4"/>
        <v>#N/A</v>
      </c>
      <c r="H26" s="26" t="e">
        <f t="shared" si="5"/>
        <v>#N/A</v>
      </c>
      <c r="I26" s="69"/>
      <c r="J26" s="70"/>
      <c r="K26" s="70"/>
      <c r="L26" s="70"/>
      <c r="M26" s="71"/>
      <c r="N26" s="70"/>
      <c r="O26" s="70"/>
      <c r="P26" s="70"/>
      <c r="Q26" s="25">
        <v>14</v>
      </c>
      <c r="R26" s="11" t="e">
        <f t="shared" si="6"/>
        <v>#N/A</v>
      </c>
      <c r="S26" s="11" t="e">
        <f t="shared" si="7"/>
        <v>#N/A</v>
      </c>
      <c r="T26" s="11" t="e">
        <f t="shared" si="8"/>
        <v>#N/A</v>
      </c>
      <c r="U26" s="15" t="e">
        <f t="shared" si="9"/>
        <v>#N/A</v>
      </c>
      <c r="V26" s="26" t="e">
        <f t="shared" si="10"/>
        <v>#N/A</v>
      </c>
      <c r="W26" s="26" t="e">
        <f t="shared" si="11"/>
        <v>#N/A</v>
      </c>
      <c r="X26" s="26" t="e">
        <f t="shared" si="12"/>
        <v>#N/A</v>
      </c>
      <c r="Y26" s="15" t="e">
        <f t="shared" si="13"/>
        <v>#N/A</v>
      </c>
      <c r="Z26" s="26" t="e">
        <f t="shared" si="14"/>
        <v>#N/A</v>
      </c>
      <c r="AA26" s="26" t="e">
        <f t="shared" si="15"/>
        <v>#N/A</v>
      </c>
      <c r="AB26" s="26" t="e">
        <f t="shared" si="16"/>
        <v>#N/A</v>
      </c>
      <c r="AC26" s="15" t="e">
        <f t="shared" si="17"/>
        <v>#N/A</v>
      </c>
      <c r="AD26" s="26" t="e">
        <f t="shared" si="18"/>
        <v>#N/A</v>
      </c>
      <c r="AE26" s="26" t="e">
        <f t="shared" si="19"/>
        <v>#N/A</v>
      </c>
      <c r="AF26" s="26" t="e">
        <f t="shared" si="20"/>
        <v>#N/A</v>
      </c>
      <c r="AG26" s="25">
        <v>14</v>
      </c>
      <c r="AH26" s="11" t="e">
        <f t="shared" si="80"/>
        <v>#N/A</v>
      </c>
      <c r="AI26" s="11" t="e">
        <f t="shared" si="21"/>
        <v>#N/A</v>
      </c>
      <c r="AJ26" s="11" t="e">
        <f t="shared" si="22"/>
        <v>#N/A</v>
      </c>
      <c r="AK26" s="15" t="e">
        <f t="shared" si="23"/>
        <v>#N/A</v>
      </c>
      <c r="AL26" s="26" t="e">
        <f t="shared" si="24"/>
        <v>#N/A</v>
      </c>
      <c r="AM26" s="26" t="e">
        <f t="shared" si="25"/>
        <v>#N/A</v>
      </c>
      <c r="AN26" s="26" t="e">
        <f t="shared" si="26"/>
        <v>#N/A</v>
      </c>
      <c r="AO26" s="15" t="e">
        <f t="shared" si="27"/>
        <v>#N/A</v>
      </c>
      <c r="AP26" s="26" t="e">
        <f t="shared" si="28"/>
        <v>#N/A</v>
      </c>
      <c r="AQ26" s="26" t="e">
        <f t="shared" si="29"/>
        <v>#N/A</v>
      </c>
      <c r="AR26" s="26" t="e">
        <f t="shared" si="30"/>
        <v>#N/A</v>
      </c>
      <c r="AS26" s="15" t="e">
        <f t="shared" si="31"/>
        <v>#N/A</v>
      </c>
      <c r="AT26" s="26" t="e">
        <f t="shared" si="32"/>
        <v>#N/A</v>
      </c>
      <c r="AU26" s="26" t="e">
        <f t="shared" si="33"/>
        <v>#N/A</v>
      </c>
      <c r="AV26" s="26" t="e">
        <f t="shared" si="34"/>
        <v>#N/A</v>
      </c>
      <c r="AW26" s="25">
        <v>14</v>
      </c>
      <c r="AX26" s="11" t="e">
        <f t="shared" si="35"/>
        <v>#N/A</v>
      </c>
      <c r="AY26" s="11" t="e">
        <f t="shared" si="36"/>
        <v>#N/A</v>
      </c>
      <c r="AZ26" s="11" t="e">
        <f t="shared" si="37"/>
        <v>#N/A</v>
      </c>
      <c r="BA26" s="15" t="e">
        <f t="shared" si="38"/>
        <v>#N/A</v>
      </c>
      <c r="BB26" s="26" t="e">
        <f t="shared" si="39"/>
        <v>#N/A</v>
      </c>
      <c r="BC26" s="26" t="e">
        <f t="shared" si="40"/>
        <v>#N/A</v>
      </c>
      <c r="BD26" s="26" t="e">
        <f t="shared" si="41"/>
        <v>#N/A</v>
      </c>
      <c r="BE26" s="15" t="e">
        <f t="shared" si="42"/>
        <v>#N/A</v>
      </c>
      <c r="BF26" s="26" t="e">
        <f t="shared" si="43"/>
        <v>#N/A</v>
      </c>
      <c r="BG26" s="26" t="e">
        <f t="shared" si="44"/>
        <v>#N/A</v>
      </c>
      <c r="BH26" s="26" t="e">
        <f t="shared" si="45"/>
        <v>#N/A</v>
      </c>
      <c r="BI26" s="15" t="e">
        <f t="shared" si="46"/>
        <v>#N/A</v>
      </c>
      <c r="BJ26" s="26" t="e">
        <f t="shared" si="47"/>
        <v>#N/A</v>
      </c>
      <c r="BK26" s="26" t="e">
        <f t="shared" si="48"/>
        <v>#N/A</v>
      </c>
      <c r="BL26" s="26" t="e">
        <f t="shared" si="49"/>
        <v>#N/A</v>
      </c>
      <c r="BM26" s="25">
        <v>14</v>
      </c>
      <c r="BN26" s="11" t="e">
        <f t="shared" si="50"/>
        <v>#N/A</v>
      </c>
      <c r="BO26" s="11" t="e">
        <f t="shared" si="51"/>
        <v>#N/A</v>
      </c>
      <c r="BP26" s="11" t="e">
        <f t="shared" si="52"/>
        <v>#N/A</v>
      </c>
      <c r="BQ26" s="15" t="e">
        <f t="shared" si="53"/>
        <v>#N/A</v>
      </c>
      <c r="BR26" s="26" t="e">
        <f t="shared" si="54"/>
        <v>#N/A</v>
      </c>
      <c r="BS26" s="26" t="e">
        <f t="shared" si="55"/>
        <v>#N/A</v>
      </c>
      <c r="BT26" s="26" t="e">
        <f t="shared" si="56"/>
        <v>#N/A</v>
      </c>
      <c r="BU26" s="15" t="e">
        <f t="shared" si="57"/>
        <v>#N/A</v>
      </c>
      <c r="BV26" s="26" t="e">
        <f t="shared" si="58"/>
        <v>#N/A</v>
      </c>
      <c r="BW26" s="26" t="e">
        <f t="shared" si="59"/>
        <v>#N/A</v>
      </c>
      <c r="BX26" s="26" t="e">
        <f t="shared" si="60"/>
        <v>#N/A</v>
      </c>
      <c r="BY26" s="15" t="e">
        <f t="shared" si="61"/>
        <v>#N/A</v>
      </c>
      <c r="BZ26" s="26" t="e">
        <f t="shared" si="62"/>
        <v>#N/A</v>
      </c>
      <c r="CA26" s="26" t="e">
        <f t="shared" si="63"/>
        <v>#N/A</v>
      </c>
      <c r="CB26" s="26" t="e">
        <f t="shared" si="64"/>
        <v>#N/A</v>
      </c>
      <c r="CC26" s="25">
        <v>14</v>
      </c>
      <c r="CD26" s="11" t="e">
        <f t="shared" si="65"/>
        <v>#N/A</v>
      </c>
      <c r="CE26" s="11" t="e">
        <f t="shared" si="66"/>
        <v>#N/A</v>
      </c>
      <c r="CF26" s="11" t="e">
        <f t="shared" si="67"/>
        <v>#N/A</v>
      </c>
      <c r="CG26" s="15" t="e">
        <f t="shared" si="68"/>
        <v>#N/A</v>
      </c>
      <c r="CH26" s="26" t="e">
        <f t="shared" si="69"/>
        <v>#N/A</v>
      </c>
      <c r="CI26" s="26" t="e">
        <f t="shared" si="70"/>
        <v>#N/A</v>
      </c>
      <c r="CJ26" s="26" t="e">
        <f t="shared" si="71"/>
        <v>#N/A</v>
      </c>
      <c r="CK26" s="15" t="e">
        <f t="shared" si="72"/>
        <v>#N/A</v>
      </c>
      <c r="CL26" s="26" t="e">
        <f t="shared" si="73"/>
        <v>#N/A</v>
      </c>
      <c r="CM26" s="26" t="e">
        <f t="shared" si="74"/>
        <v>#N/A</v>
      </c>
      <c r="CN26" s="26" t="e">
        <f t="shared" si="75"/>
        <v>#N/A</v>
      </c>
      <c r="CO26" s="15" t="e">
        <f t="shared" si="76"/>
        <v>#N/A</v>
      </c>
      <c r="CP26" s="26" t="e">
        <f t="shared" si="77"/>
        <v>#N/A</v>
      </c>
      <c r="CQ26" s="26" t="e">
        <f t="shared" si="78"/>
        <v>#N/A</v>
      </c>
      <c r="CR26" s="26" t="e">
        <f t="shared" si="79"/>
        <v>#N/A</v>
      </c>
    </row>
    <row r="27" spans="1:96" s="6" customFormat="1" ht="18.75" x14ac:dyDescent="0.25">
      <c r="A27" s="25">
        <v>15</v>
      </c>
      <c r="B27" s="11" t="e">
        <f t="shared" si="0"/>
        <v>#N/A</v>
      </c>
      <c r="C27" s="11" t="e">
        <f t="shared" si="1"/>
        <v>#N/A</v>
      </c>
      <c r="D27" s="11" t="e">
        <f t="shared" si="2"/>
        <v>#N/A</v>
      </c>
      <c r="E27" s="15" t="e">
        <f t="shared" si="3"/>
        <v>#N/A</v>
      </c>
      <c r="F27" s="26"/>
      <c r="G27" s="26" t="e">
        <f t="shared" si="4"/>
        <v>#N/A</v>
      </c>
      <c r="H27" s="26" t="e">
        <f t="shared" si="5"/>
        <v>#N/A</v>
      </c>
      <c r="I27" s="69"/>
      <c r="J27" s="70"/>
      <c r="K27" s="70"/>
      <c r="L27" s="70"/>
      <c r="M27" s="71"/>
      <c r="N27" s="70"/>
      <c r="O27" s="70"/>
      <c r="P27" s="70"/>
      <c r="Q27" s="25">
        <v>15</v>
      </c>
      <c r="R27" s="11" t="e">
        <f t="shared" si="6"/>
        <v>#N/A</v>
      </c>
      <c r="S27" s="11" t="e">
        <f t="shared" si="7"/>
        <v>#N/A</v>
      </c>
      <c r="T27" s="11" t="e">
        <f t="shared" si="8"/>
        <v>#N/A</v>
      </c>
      <c r="U27" s="15" t="e">
        <f t="shared" si="9"/>
        <v>#N/A</v>
      </c>
      <c r="V27" s="26" t="e">
        <f t="shared" si="10"/>
        <v>#N/A</v>
      </c>
      <c r="W27" s="26" t="e">
        <f t="shared" si="11"/>
        <v>#N/A</v>
      </c>
      <c r="X27" s="26" t="e">
        <f t="shared" si="12"/>
        <v>#N/A</v>
      </c>
      <c r="Y27" s="15" t="e">
        <f t="shared" si="13"/>
        <v>#N/A</v>
      </c>
      <c r="Z27" s="26" t="e">
        <f t="shared" si="14"/>
        <v>#N/A</v>
      </c>
      <c r="AA27" s="26" t="e">
        <f t="shared" si="15"/>
        <v>#N/A</v>
      </c>
      <c r="AB27" s="26" t="e">
        <f t="shared" si="16"/>
        <v>#N/A</v>
      </c>
      <c r="AC27" s="15" t="e">
        <f t="shared" si="17"/>
        <v>#N/A</v>
      </c>
      <c r="AD27" s="26" t="e">
        <f t="shared" si="18"/>
        <v>#N/A</v>
      </c>
      <c r="AE27" s="26" t="e">
        <f t="shared" si="19"/>
        <v>#N/A</v>
      </c>
      <c r="AF27" s="26" t="e">
        <f t="shared" si="20"/>
        <v>#N/A</v>
      </c>
      <c r="AG27" s="25">
        <v>15</v>
      </c>
      <c r="AH27" s="11" t="e">
        <f t="shared" si="80"/>
        <v>#N/A</v>
      </c>
      <c r="AI27" s="11" t="e">
        <f t="shared" si="21"/>
        <v>#N/A</v>
      </c>
      <c r="AJ27" s="11" t="e">
        <f t="shared" si="22"/>
        <v>#N/A</v>
      </c>
      <c r="AK27" s="15" t="e">
        <f t="shared" si="23"/>
        <v>#N/A</v>
      </c>
      <c r="AL27" s="26" t="e">
        <f t="shared" si="24"/>
        <v>#N/A</v>
      </c>
      <c r="AM27" s="26" t="e">
        <f t="shared" si="25"/>
        <v>#N/A</v>
      </c>
      <c r="AN27" s="26" t="e">
        <f t="shared" si="26"/>
        <v>#N/A</v>
      </c>
      <c r="AO27" s="15" t="e">
        <f t="shared" si="27"/>
        <v>#N/A</v>
      </c>
      <c r="AP27" s="26" t="e">
        <f t="shared" si="28"/>
        <v>#N/A</v>
      </c>
      <c r="AQ27" s="26" t="e">
        <f t="shared" si="29"/>
        <v>#N/A</v>
      </c>
      <c r="AR27" s="26" t="e">
        <f t="shared" si="30"/>
        <v>#N/A</v>
      </c>
      <c r="AS27" s="15" t="e">
        <f t="shared" si="31"/>
        <v>#N/A</v>
      </c>
      <c r="AT27" s="26" t="e">
        <f t="shared" si="32"/>
        <v>#N/A</v>
      </c>
      <c r="AU27" s="26" t="e">
        <f t="shared" si="33"/>
        <v>#N/A</v>
      </c>
      <c r="AV27" s="26" t="e">
        <f t="shared" si="34"/>
        <v>#N/A</v>
      </c>
      <c r="AW27" s="25">
        <v>15</v>
      </c>
      <c r="AX27" s="11" t="e">
        <f t="shared" si="35"/>
        <v>#N/A</v>
      </c>
      <c r="AY27" s="11" t="e">
        <f t="shared" si="36"/>
        <v>#N/A</v>
      </c>
      <c r="AZ27" s="11" t="e">
        <f t="shared" si="37"/>
        <v>#N/A</v>
      </c>
      <c r="BA27" s="15" t="e">
        <f t="shared" si="38"/>
        <v>#N/A</v>
      </c>
      <c r="BB27" s="26" t="e">
        <f t="shared" si="39"/>
        <v>#N/A</v>
      </c>
      <c r="BC27" s="26" t="e">
        <f t="shared" si="40"/>
        <v>#N/A</v>
      </c>
      <c r="BD27" s="26" t="e">
        <f t="shared" si="41"/>
        <v>#N/A</v>
      </c>
      <c r="BE27" s="15" t="e">
        <f t="shared" si="42"/>
        <v>#N/A</v>
      </c>
      <c r="BF27" s="26" t="e">
        <f t="shared" si="43"/>
        <v>#N/A</v>
      </c>
      <c r="BG27" s="26" t="e">
        <f t="shared" si="44"/>
        <v>#N/A</v>
      </c>
      <c r="BH27" s="26" t="e">
        <f t="shared" si="45"/>
        <v>#N/A</v>
      </c>
      <c r="BI27" s="15" t="e">
        <f t="shared" si="46"/>
        <v>#N/A</v>
      </c>
      <c r="BJ27" s="26" t="e">
        <f t="shared" si="47"/>
        <v>#N/A</v>
      </c>
      <c r="BK27" s="26" t="e">
        <f t="shared" si="48"/>
        <v>#N/A</v>
      </c>
      <c r="BL27" s="26" t="e">
        <f t="shared" si="49"/>
        <v>#N/A</v>
      </c>
      <c r="BM27" s="25">
        <v>15</v>
      </c>
      <c r="BN27" s="11" t="e">
        <f t="shared" si="50"/>
        <v>#N/A</v>
      </c>
      <c r="BO27" s="11" t="e">
        <f t="shared" si="51"/>
        <v>#N/A</v>
      </c>
      <c r="BP27" s="11" t="e">
        <f t="shared" si="52"/>
        <v>#N/A</v>
      </c>
      <c r="BQ27" s="15" t="e">
        <f t="shared" si="53"/>
        <v>#N/A</v>
      </c>
      <c r="BR27" s="26" t="e">
        <f t="shared" si="54"/>
        <v>#N/A</v>
      </c>
      <c r="BS27" s="26" t="e">
        <f t="shared" si="55"/>
        <v>#N/A</v>
      </c>
      <c r="BT27" s="26" t="e">
        <f t="shared" si="56"/>
        <v>#N/A</v>
      </c>
      <c r="BU27" s="15" t="e">
        <f t="shared" si="57"/>
        <v>#N/A</v>
      </c>
      <c r="BV27" s="26" t="e">
        <f t="shared" si="58"/>
        <v>#N/A</v>
      </c>
      <c r="BW27" s="26" t="e">
        <f t="shared" si="59"/>
        <v>#N/A</v>
      </c>
      <c r="BX27" s="26" t="e">
        <f t="shared" si="60"/>
        <v>#N/A</v>
      </c>
      <c r="BY27" s="15" t="e">
        <f t="shared" si="61"/>
        <v>#N/A</v>
      </c>
      <c r="BZ27" s="26" t="e">
        <f t="shared" si="62"/>
        <v>#N/A</v>
      </c>
      <c r="CA27" s="26" t="e">
        <f t="shared" si="63"/>
        <v>#N/A</v>
      </c>
      <c r="CB27" s="26" t="e">
        <f t="shared" si="64"/>
        <v>#N/A</v>
      </c>
      <c r="CC27" s="25">
        <v>15</v>
      </c>
      <c r="CD27" s="11" t="e">
        <f t="shared" si="65"/>
        <v>#N/A</v>
      </c>
      <c r="CE27" s="11" t="e">
        <f t="shared" si="66"/>
        <v>#N/A</v>
      </c>
      <c r="CF27" s="11" t="e">
        <f t="shared" si="67"/>
        <v>#N/A</v>
      </c>
      <c r="CG27" s="15" t="e">
        <f t="shared" si="68"/>
        <v>#N/A</v>
      </c>
      <c r="CH27" s="26" t="e">
        <f t="shared" si="69"/>
        <v>#N/A</v>
      </c>
      <c r="CI27" s="26" t="e">
        <f t="shared" si="70"/>
        <v>#N/A</v>
      </c>
      <c r="CJ27" s="26" t="e">
        <f t="shared" si="71"/>
        <v>#N/A</v>
      </c>
      <c r="CK27" s="15" t="e">
        <f t="shared" si="72"/>
        <v>#N/A</v>
      </c>
      <c r="CL27" s="26" t="e">
        <f t="shared" si="73"/>
        <v>#N/A</v>
      </c>
      <c r="CM27" s="26" t="e">
        <f t="shared" si="74"/>
        <v>#N/A</v>
      </c>
      <c r="CN27" s="26" t="e">
        <f t="shared" si="75"/>
        <v>#N/A</v>
      </c>
      <c r="CO27" s="15" t="e">
        <f t="shared" si="76"/>
        <v>#N/A</v>
      </c>
      <c r="CP27" s="26" t="e">
        <f t="shared" si="77"/>
        <v>#N/A</v>
      </c>
      <c r="CQ27" s="26" t="e">
        <f t="shared" si="78"/>
        <v>#N/A</v>
      </c>
      <c r="CR27" s="26" t="e">
        <f t="shared" si="79"/>
        <v>#N/A</v>
      </c>
    </row>
    <row r="28" spans="1:96" s="36" customFormat="1" x14ac:dyDescent="0.25">
      <c r="A28" s="32"/>
      <c r="B28" s="33"/>
      <c r="C28" s="33"/>
      <c r="D28" s="33"/>
      <c r="E28" s="34"/>
      <c r="F28" s="35"/>
      <c r="G28" s="35"/>
      <c r="H28" s="35"/>
      <c r="I28" s="34"/>
      <c r="J28" s="35"/>
      <c r="K28" s="35"/>
      <c r="L28" s="35"/>
      <c r="M28" s="34"/>
      <c r="N28" s="35"/>
      <c r="O28" s="35"/>
      <c r="P28" s="35"/>
      <c r="Q28" s="32"/>
      <c r="R28" s="33"/>
      <c r="S28" s="33"/>
      <c r="T28" s="33"/>
      <c r="U28" s="34"/>
      <c r="V28" s="35"/>
      <c r="W28" s="35"/>
      <c r="X28" s="35"/>
      <c r="Y28" s="34"/>
      <c r="Z28" s="35"/>
      <c r="AA28" s="35"/>
      <c r="AB28" s="35"/>
      <c r="AC28" s="34"/>
      <c r="AD28" s="35"/>
      <c r="AE28" s="35"/>
      <c r="AF28" s="35"/>
      <c r="AG28" s="32"/>
      <c r="AH28" s="33"/>
      <c r="AI28" s="33"/>
      <c r="AJ28" s="33"/>
      <c r="AK28" s="34"/>
      <c r="AL28" s="35"/>
      <c r="AM28" s="35"/>
      <c r="AN28" s="35"/>
      <c r="AO28" s="34"/>
      <c r="AP28" s="35"/>
      <c r="AQ28" s="35"/>
      <c r="AR28" s="35"/>
      <c r="AS28" s="34"/>
      <c r="AT28" s="35"/>
      <c r="AU28" s="35"/>
      <c r="AV28" s="35"/>
      <c r="AW28" s="32"/>
      <c r="AX28" s="33"/>
      <c r="AY28" s="33"/>
      <c r="AZ28" s="33"/>
      <c r="BA28" s="34"/>
      <c r="BB28" s="35"/>
      <c r="BC28" s="35"/>
      <c r="BD28" s="35"/>
      <c r="BE28" s="34"/>
      <c r="BF28" s="35"/>
      <c r="BG28" s="35"/>
      <c r="BH28" s="35"/>
      <c r="BI28" s="34"/>
      <c r="BJ28" s="35"/>
      <c r="BK28" s="35"/>
      <c r="BL28" s="35"/>
      <c r="BM28" s="32"/>
      <c r="BN28" s="33"/>
      <c r="BO28" s="33"/>
      <c r="BP28" s="33"/>
      <c r="BQ28" s="34"/>
      <c r="BR28" s="35"/>
      <c r="BS28" s="35"/>
      <c r="BT28" s="35"/>
      <c r="BU28" s="34"/>
      <c r="BV28" s="35"/>
      <c r="BW28" s="35"/>
      <c r="BX28" s="35"/>
      <c r="BY28" s="34"/>
      <c r="BZ28" s="35"/>
      <c r="CA28" s="35"/>
      <c r="CB28" s="35"/>
      <c r="CC28" s="32"/>
      <c r="CD28" s="33"/>
      <c r="CE28" s="33"/>
      <c r="CF28" s="33"/>
      <c r="CG28" s="34"/>
      <c r="CH28" s="35"/>
      <c r="CI28" s="35"/>
      <c r="CJ28" s="35"/>
      <c r="CK28" s="34"/>
      <c r="CL28" s="35"/>
      <c r="CM28" s="35"/>
      <c r="CN28" s="35"/>
      <c r="CO28" s="34"/>
      <c r="CP28" s="35"/>
      <c r="CQ28" s="35"/>
      <c r="CR28" s="35"/>
    </row>
    <row r="29" spans="1:96" s="36" customFormat="1" x14ac:dyDescent="0.25">
      <c r="A29" s="32"/>
      <c r="B29" s="33" t="s">
        <v>157</v>
      </c>
      <c r="C29" s="33"/>
      <c r="D29" s="33"/>
      <c r="E29" s="34"/>
      <c r="F29" s="35"/>
      <c r="G29" s="35"/>
      <c r="H29" s="35"/>
      <c r="I29" s="34"/>
      <c r="J29" s="35"/>
      <c r="K29" s="37" t="s">
        <v>158</v>
      </c>
      <c r="L29" s="35"/>
      <c r="M29" s="34"/>
      <c r="N29" s="35"/>
      <c r="O29" s="35"/>
      <c r="P29" s="35"/>
      <c r="Q29" s="32"/>
      <c r="R29" s="33" t="s">
        <v>157</v>
      </c>
      <c r="S29" s="33"/>
      <c r="T29" s="33"/>
      <c r="U29" s="34"/>
      <c r="V29" s="35"/>
      <c r="W29" s="35"/>
      <c r="X29" s="35"/>
      <c r="Y29" s="34"/>
      <c r="Z29" s="35"/>
      <c r="AA29" s="37" t="s">
        <v>158</v>
      </c>
      <c r="AB29" s="35"/>
      <c r="AC29" s="34"/>
      <c r="AD29" s="35"/>
      <c r="AE29" s="35"/>
      <c r="AF29" s="35"/>
      <c r="AG29" s="32"/>
      <c r="AH29" s="33" t="s">
        <v>157</v>
      </c>
      <c r="AI29" s="33"/>
      <c r="AJ29" s="33"/>
      <c r="AK29" s="34"/>
      <c r="AL29" s="35"/>
      <c r="AM29" s="35"/>
      <c r="AN29" s="35"/>
      <c r="AO29" s="34"/>
      <c r="AP29" s="35"/>
      <c r="AQ29" s="37" t="s">
        <v>158</v>
      </c>
      <c r="AR29" s="35"/>
      <c r="AS29" s="34"/>
      <c r="AT29" s="35"/>
      <c r="AU29" s="35"/>
      <c r="AV29" s="35"/>
      <c r="AW29" s="32"/>
      <c r="AX29" s="33" t="s">
        <v>157</v>
      </c>
      <c r="AY29" s="33"/>
      <c r="AZ29" s="33"/>
      <c r="BA29" s="34"/>
      <c r="BB29" s="35"/>
      <c r="BC29" s="35"/>
      <c r="BD29" s="35"/>
      <c r="BE29" s="34"/>
      <c r="BF29" s="35"/>
      <c r="BG29" s="37" t="s">
        <v>158</v>
      </c>
      <c r="BH29" s="35"/>
      <c r="BI29" s="34"/>
      <c r="BJ29" s="35"/>
      <c r="BK29" s="35"/>
      <c r="BL29" s="35"/>
      <c r="BM29" s="32"/>
      <c r="BN29" s="33" t="s">
        <v>157</v>
      </c>
      <c r="BO29" s="33"/>
      <c r="BP29" s="33"/>
      <c r="BQ29" s="34"/>
      <c r="BR29" s="35"/>
      <c r="BS29" s="35"/>
      <c r="BT29" s="35"/>
      <c r="BU29" s="34"/>
      <c r="BV29" s="35"/>
      <c r="BW29" s="37" t="s">
        <v>158</v>
      </c>
      <c r="BX29" s="35"/>
      <c r="BY29" s="34"/>
      <c r="BZ29" s="35"/>
      <c r="CA29" s="35"/>
      <c r="CB29" s="35"/>
      <c r="CC29" s="32"/>
      <c r="CD29" s="33" t="s">
        <v>157</v>
      </c>
      <c r="CE29" s="33"/>
      <c r="CF29" s="33"/>
      <c r="CG29" s="34"/>
      <c r="CH29" s="35"/>
      <c r="CI29" s="35"/>
      <c r="CJ29" s="35"/>
      <c r="CK29" s="34"/>
      <c r="CL29" s="35"/>
      <c r="CM29" s="37" t="s">
        <v>158</v>
      </c>
      <c r="CN29" s="35"/>
      <c r="CO29" s="34"/>
      <c r="CP29" s="35"/>
      <c r="CQ29" s="35"/>
      <c r="CR29" s="35"/>
    </row>
    <row r="30" spans="1:96" s="36" customFormat="1" x14ac:dyDescent="0.25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32"/>
      <c r="AX30" s="33"/>
      <c r="AY30" s="33"/>
      <c r="AZ30" s="33"/>
      <c r="BA30" s="34"/>
      <c r="BB30" s="35"/>
      <c r="BC30" s="35"/>
      <c r="BD30" s="35"/>
      <c r="BE30" s="34"/>
      <c r="BF30" s="35"/>
      <c r="BG30" s="35"/>
      <c r="BH30" s="35"/>
      <c r="BI30" s="34"/>
      <c r="BJ30" s="35"/>
      <c r="BK30" s="35"/>
      <c r="BL30" s="35"/>
      <c r="BM30" s="32"/>
      <c r="BN30" s="33"/>
      <c r="BO30" s="33"/>
      <c r="BP30" s="33"/>
      <c r="BQ30" s="34"/>
      <c r="BR30" s="35"/>
      <c r="BS30" s="35"/>
      <c r="BT30" s="35"/>
      <c r="BU30" s="34"/>
      <c r="BV30" s="35"/>
      <c r="BW30" s="35"/>
      <c r="BX30" s="35"/>
      <c r="BY30" s="34"/>
      <c r="BZ30" s="35"/>
      <c r="CA30" s="35"/>
      <c r="CB30" s="35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</row>
    <row r="31" spans="1:96" s="29" customFormat="1" ht="15" customHeight="1" x14ac:dyDescent="0.25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</row>
    <row r="32" spans="1:96" s="29" customFormat="1" x14ac:dyDescent="0.25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</row>
    <row r="33" spans="1:96" s="6" customFormat="1" x14ac:dyDescent="0.25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</row>
    <row r="34" spans="1:96" s="6" customFormat="1" x14ac:dyDescent="0.25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</row>
    <row r="35" spans="1:96" s="6" customFormat="1" x14ac:dyDescent="0.25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</row>
    <row r="36" spans="1:96" s="6" customFormat="1" x14ac:dyDescent="0.25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</row>
    <row r="37" spans="1:96" s="6" customFormat="1" x14ac:dyDescent="0.25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</row>
    <row r="38" spans="1:96" s="6" customFormat="1" x14ac:dyDescent="0.25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</row>
    <row r="39" spans="1:96" s="6" customFormat="1" x14ac:dyDescent="0.25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</row>
    <row r="40" spans="1:96" s="6" customFormat="1" x14ac:dyDescent="0.25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</row>
    <row r="41" spans="1:96" s="6" customFormat="1" x14ac:dyDescent="0.25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52"/>
    </row>
    <row r="42" spans="1:96" s="6" customFormat="1" x14ac:dyDescent="0.25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</row>
    <row r="43" spans="1:96" s="6" customFormat="1" x14ac:dyDescent="0.25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52"/>
    </row>
    <row r="44" spans="1:96" s="6" customFormat="1" x14ac:dyDescent="0.25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</row>
    <row r="45" spans="1:96" s="6" customFormat="1" x14ac:dyDescent="0.25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</row>
    <row r="46" spans="1:96" s="6" customFormat="1" x14ac:dyDescent="0.25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</row>
    <row r="47" spans="1:96" s="6" customFormat="1" x14ac:dyDescent="0.25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</row>
    <row r="48" spans="1:96" s="36" customFormat="1" ht="10.5" customHeight="1" x14ac:dyDescent="0.25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52"/>
    </row>
    <row r="49" spans="1:96" s="36" customFormat="1" x14ac:dyDescent="0.25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52"/>
    </row>
    <row r="50" spans="1:96" s="36" customFormat="1" x14ac:dyDescent="0.25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</row>
    <row r="51" spans="1:96" s="29" customFormat="1" ht="15" customHeight="1" x14ac:dyDescent="0.25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</row>
    <row r="52" spans="1:96" s="29" customFormat="1" x14ac:dyDescent="0.25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</row>
    <row r="53" spans="1:96" s="6" customFormat="1" x14ac:dyDescent="0.25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</row>
    <row r="54" spans="1:96" s="6" customFormat="1" x14ac:dyDescent="0.25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</row>
    <row r="55" spans="1:96" s="6" customFormat="1" x14ac:dyDescent="0.25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</row>
    <row r="56" spans="1:96" s="6" customFormat="1" x14ac:dyDescent="0.25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</row>
    <row r="57" spans="1:96" s="6" customFormat="1" x14ac:dyDescent="0.25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</row>
    <row r="58" spans="1:96" s="6" customFormat="1" x14ac:dyDescent="0.25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</row>
    <row r="59" spans="1:96" s="6" customFormat="1" x14ac:dyDescent="0.25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</row>
    <row r="60" spans="1:96" s="6" customFormat="1" x14ac:dyDescent="0.25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</row>
    <row r="61" spans="1:96" s="6" customFormat="1" x14ac:dyDescent="0.25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</row>
    <row r="62" spans="1:96" s="6" customFormat="1" x14ac:dyDescent="0.25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</row>
    <row r="63" spans="1:96" s="6" customFormat="1" x14ac:dyDescent="0.25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</row>
    <row r="64" spans="1:96" s="6" customFormat="1" x14ac:dyDescent="0.25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</row>
    <row r="65" spans="1:96" s="6" customFormat="1" x14ac:dyDescent="0.25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</row>
    <row r="66" spans="1:96" s="6" customFormat="1" x14ac:dyDescent="0.25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52"/>
    </row>
    <row r="67" spans="1:96" s="6" customFormat="1" x14ac:dyDescent="0.25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52"/>
    </row>
    <row r="68" spans="1:96" s="36" customFormat="1" ht="10.5" customHeight="1" x14ac:dyDescent="0.25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52"/>
    </row>
    <row r="69" spans="1:96" s="36" customFormat="1" x14ac:dyDescent="0.25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</row>
    <row r="70" spans="1:96" s="36" customFormat="1" x14ac:dyDescent="0.25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52"/>
    </row>
    <row r="71" spans="1:96" s="29" customFormat="1" ht="15" customHeight="1" x14ac:dyDescent="0.25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</row>
    <row r="72" spans="1:96" s="29" customFormat="1" x14ac:dyDescent="0.25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52"/>
    </row>
    <row r="73" spans="1:96" s="6" customFormat="1" x14ac:dyDescent="0.25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52"/>
    </row>
    <row r="74" spans="1:96" s="6" customFormat="1" x14ac:dyDescent="0.25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52"/>
    </row>
    <row r="75" spans="1:96" s="6" customFormat="1" x14ac:dyDescent="0.25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52"/>
    </row>
    <row r="76" spans="1:96" s="6" customFormat="1" x14ac:dyDescent="0.25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52"/>
    </row>
    <row r="77" spans="1:96" s="6" customFormat="1" x14ac:dyDescent="0.25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</row>
    <row r="78" spans="1:96" s="6" customFormat="1" x14ac:dyDescent="0.25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52"/>
    </row>
    <row r="79" spans="1:96" s="6" customFormat="1" x14ac:dyDescent="0.25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52"/>
    </row>
    <row r="80" spans="1:96" s="6" customFormat="1" x14ac:dyDescent="0.25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  <c r="CI80" s="52"/>
      <c r="CJ80" s="52"/>
      <c r="CK80" s="52"/>
      <c r="CL80" s="52"/>
      <c r="CM80" s="52"/>
      <c r="CN80" s="52"/>
      <c r="CO80" s="52"/>
      <c r="CP80" s="52"/>
      <c r="CQ80" s="52"/>
      <c r="CR80" s="52"/>
    </row>
    <row r="81" spans="1:96" s="6" customFormat="1" x14ac:dyDescent="0.25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</row>
    <row r="82" spans="1:96" s="6" customFormat="1" x14ac:dyDescent="0.25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</row>
    <row r="83" spans="1:96" s="6" customFormat="1" x14ac:dyDescent="0.25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</row>
    <row r="84" spans="1:96" s="6" customFormat="1" x14ac:dyDescent="0.25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52"/>
    </row>
    <row r="85" spans="1:96" s="6" customFormat="1" x14ac:dyDescent="0.25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</row>
    <row r="86" spans="1:96" s="6" customFormat="1" x14ac:dyDescent="0.25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52"/>
    </row>
    <row r="87" spans="1:96" s="6" customFormat="1" x14ac:dyDescent="0.25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</row>
    <row r="88" spans="1:96" s="36" customFormat="1" ht="8.25" customHeight="1" x14ac:dyDescent="0.25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52"/>
    </row>
    <row r="89" spans="1:96" s="36" customFormat="1" x14ac:dyDescent="0.25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52"/>
    </row>
    <row r="90" spans="1:96" s="36" customFormat="1" x14ac:dyDescent="0.25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  <c r="BM90" s="52"/>
      <c r="BN90" s="52"/>
      <c r="BO90" s="52"/>
      <c r="BP90" s="52"/>
      <c r="BQ90" s="52"/>
      <c r="BR90" s="52"/>
      <c r="BS90" s="52"/>
      <c r="BT90" s="52"/>
      <c r="BU90" s="52"/>
      <c r="BV90" s="52"/>
      <c r="BW90" s="52"/>
      <c r="BX90" s="52"/>
      <c r="BY90" s="52"/>
      <c r="BZ90" s="52"/>
      <c r="CA90" s="52"/>
      <c r="CB90" s="52"/>
      <c r="CC90" s="52"/>
      <c r="CD90" s="52"/>
      <c r="CE90" s="52"/>
      <c r="CF90" s="52"/>
      <c r="CG90" s="52"/>
      <c r="CH90" s="52"/>
      <c r="CI90" s="52"/>
      <c r="CJ90" s="52"/>
      <c r="CK90" s="52"/>
      <c r="CL90" s="52"/>
      <c r="CM90" s="52"/>
      <c r="CN90" s="52"/>
      <c r="CO90" s="52"/>
      <c r="CP90" s="52"/>
      <c r="CQ90" s="52"/>
      <c r="CR90" s="52"/>
    </row>
    <row r="91" spans="1:96" s="29" customFormat="1" ht="15" customHeight="1" x14ac:dyDescent="0.25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  <c r="BM91" s="52"/>
      <c r="BN91" s="52"/>
      <c r="BO91" s="52"/>
      <c r="BP91" s="52"/>
      <c r="BQ91" s="52"/>
      <c r="BR91" s="52"/>
      <c r="BS91" s="52"/>
      <c r="BT91" s="52"/>
      <c r="BU91" s="52"/>
      <c r="BV91" s="52"/>
      <c r="BW91" s="52"/>
      <c r="BX91" s="52"/>
      <c r="BY91" s="52"/>
      <c r="BZ91" s="52"/>
      <c r="CA91" s="52"/>
      <c r="CB91" s="52"/>
      <c r="CC91" s="52"/>
      <c r="CD91" s="52"/>
      <c r="CE91" s="52"/>
      <c r="CF91" s="52"/>
      <c r="CG91" s="52"/>
      <c r="CH91" s="52"/>
      <c r="CI91" s="52"/>
      <c r="CJ91" s="52"/>
      <c r="CK91" s="52"/>
      <c r="CL91" s="52"/>
      <c r="CM91" s="52"/>
      <c r="CN91" s="52"/>
      <c r="CO91" s="52"/>
      <c r="CP91" s="52"/>
      <c r="CQ91" s="52"/>
      <c r="CR91" s="52"/>
    </row>
    <row r="92" spans="1:96" s="29" customFormat="1" x14ac:dyDescent="0.25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  <c r="BM92" s="52"/>
      <c r="BN92" s="52"/>
      <c r="BO92" s="52"/>
      <c r="BP92" s="52"/>
      <c r="BQ92" s="52"/>
      <c r="BR92" s="52"/>
      <c r="BS92" s="52"/>
      <c r="BT92" s="52"/>
      <c r="BU92" s="52"/>
      <c r="BV92" s="52"/>
      <c r="BW92" s="52"/>
      <c r="BX92" s="52"/>
      <c r="BY92" s="52"/>
      <c r="BZ92" s="52"/>
      <c r="CA92" s="52"/>
      <c r="CB92" s="52"/>
      <c r="CC92" s="52"/>
      <c r="CD92" s="52"/>
      <c r="CE92" s="52"/>
      <c r="CF92" s="52"/>
      <c r="CG92" s="52"/>
      <c r="CH92" s="52"/>
      <c r="CI92" s="52"/>
      <c r="CJ92" s="52"/>
      <c r="CK92" s="52"/>
      <c r="CL92" s="52"/>
      <c r="CM92" s="52"/>
      <c r="CN92" s="52"/>
      <c r="CO92" s="52"/>
      <c r="CP92" s="52"/>
      <c r="CQ92" s="52"/>
      <c r="CR92" s="52"/>
    </row>
    <row r="93" spans="1:96" s="6" customFormat="1" x14ac:dyDescent="0.25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  <c r="BM93" s="52"/>
      <c r="BN93" s="52"/>
      <c r="BO93" s="52"/>
      <c r="BP93" s="52"/>
      <c r="BQ93" s="52"/>
      <c r="BR93" s="52"/>
      <c r="BS93" s="52"/>
      <c r="BT93" s="52"/>
      <c r="BU93" s="52"/>
      <c r="BV93" s="52"/>
      <c r="BW93" s="52"/>
      <c r="BX93" s="52"/>
      <c r="BY93" s="52"/>
      <c r="BZ93" s="52"/>
      <c r="CA93" s="52"/>
      <c r="CB93" s="52"/>
      <c r="CC93" s="52"/>
      <c r="CD93" s="52"/>
      <c r="CE93" s="52"/>
      <c r="CF93" s="52"/>
      <c r="CG93" s="52"/>
      <c r="CH93" s="52"/>
      <c r="CI93" s="52"/>
      <c r="CJ93" s="52"/>
      <c r="CK93" s="52"/>
      <c r="CL93" s="52"/>
      <c r="CM93" s="52"/>
      <c r="CN93" s="52"/>
      <c r="CO93" s="52"/>
      <c r="CP93" s="52"/>
      <c r="CQ93" s="52"/>
      <c r="CR93" s="52"/>
    </row>
    <row r="94" spans="1:96" s="6" customFormat="1" x14ac:dyDescent="0.25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2"/>
      <c r="BO94" s="52"/>
      <c r="BP94" s="52"/>
      <c r="BQ94" s="52"/>
      <c r="BR94" s="52"/>
      <c r="BS94" s="52"/>
      <c r="BT94" s="52"/>
      <c r="BU94" s="52"/>
      <c r="BV94" s="52"/>
      <c r="BW94" s="52"/>
      <c r="BX94" s="52"/>
      <c r="BY94" s="52"/>
      <c r="BZ94" s="52"/>
      <c r="CA94" s="52"/>
      <c r="CB94" s="52"/>
      <c r="CC94" s="52"/>
      <c r="CD94" s="52"/>
      <c r="CE94" s="52"/>
      <c r="CF94" s="52"/>
      <c r="CG94" s="52"/>
      <c r="CH94" s="52"/>
      <c r="CI94" s="52"/>
      <c r="CJ94" s="52"/>
      <c r="CK94" s="52"/>
      <c r="CL94" s="52"/>
      <c r="CM94" s="52"/>
      <c r="CN94" s="52"/>
      <c r="CO94" s="52"/>
      <c r="CP94" s="52"/>
      <c r="CQ94" s="52"/>
      <c r="CR94" s="52"/>
    </row>
    <row r="95" spans="1:96" s="6" customFormat="1" x14ac:dyDescent="0.25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2"/>
      <c r="BY95" s="52"/>
      <c r="BZ95" s="52"/>
      <c r="CA95" s="52"/>
      <c r="CB95" s="52"/>
      <c r="CC95" s="52"/>
      <c r="CD95" s="52"/>
      <c r="CE95" s="52"/>
      <c r="CF95" s="52"/>
      <c r="CG95" s="52"/>
      <c r="CH95" s="52"/>
      <c r="CI95" s="52"/>
      <c r="CJ95" s="52"/>
      <c r="CK95" s="52"/>
      <c r="CL95" s="52"/>
      <c r="CM95" s="52"/>
      <c r="CN95" s="52"/>
      <c r="CO95" s="52"/>
      <c r="CP95" s="52"/>
      <c r="CQ95" s="52"/>
      <c r="CR95" s="52"/>
    </row>
    <row r="96" spans="1:96" s="6" customFormat="1" x14ac:dyDescent="0.25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  <c r="BM96" s="52"/>
      <c r="BN96" s="52"/>
      <c r="BO96" s="52"/>
      <c r="BP96" s="52"/>
      <c r="BQ96" s="52"/>
      <c r="BR96" s="52"/>
      <c r="BS96" s="52"/>
      <c r="BT96" s="52"/>
      <c r="BU96" s="52"/>
      <c r="BV96" s="52"/>
      <c r="BW96" s="52"/>
      <c r="BX96" s="52"/>
      <c r="BY96" s="52"/>
      <c r="BZ96" s="52"/>
      <c r="CA96" s="52"/>
      <c r="CB96" s="52"/>
      <c r="CC96" s="52"/>
      <c r="CD96" s="52"/>
      <c r="CE96" s="52"/>
      <c r="CF96" s="52"/>
      <c r="CG96" s="52"/>
      <c r="CH96" s="52"/>
      <c r="CI96" s="52"/>
      <c r="CJ96" s="52"/>
      <c r="CK96" s="52"/>
      <c r="CL96" s="52"/>
      <c r="CM96" s="52"/>
      <c r="CN96" s="52"/>
      <c r="CO96" s="52"/>
      <c r="CP96" s="52"/>
      <c r="CQ96" s="52"/>
      <c r="CR96" s="52"/>
    </row>
    <row r="97" spans="1:96" s="6" customFormat="1" x14ac:dyDescent="0.25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  <c r="BM97" s="52"/>
      <c r="BN97" s="52"/>
      <c r="BO97" s="52"/>
      <c r="BP97" s="52"/>
      <c r="BQ97" s="52"/>
      <c r="BR97" s="52"/>
      <c r="BS97" s="52"/>
      <c r="BT97" s="52"/>
      <c r="BU97" s="52"/>
      <c r="BV97" s="52"/>
      <c r="BW97" s="52"/>
      <c r="BX97" s="52"/>
      <c r="BY97" s="52"/>
      <c r="BZ97" s="52"/>
      <c r="CA97" s="52"/>
      <c r="CB97" s="52"/>
      <c r="CC97" s="52"/>
      <c r="CD97" s="52"/>
      <c r="CE97" s="52"/>
      <c r="CF97" s="52"/>
      <c r="CG97" s="52"/>
      <c r="CH97" s="52"/>
      <c r="CI97" s="52"/>
      <c r="CJ97" s="52"/>
      <c r="CK97" s="52"/>
      <c r="CL97" s="52"/>
      <c r="CM97" s="52"/>
      <c r="CN97" s="52"/>
      <c r="CO97" s="52"/>
      <c r="CP97" s="52"/>
      <c r="CQ97" s="52"/>
      <c r="CR97" s="52"/>
    </row>
    <row r="98" spans="1:96" s="6" customFormat="1" x14ac:dyDescent="0.25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  <c r="BM98" s="52"/>
      <c r="BN98" s="52"/>
      <c r="BO98" s="52"/>
      <c r="BP98" s="52"/>
      <c r="BQ98" s="52"/>
      <c r="BR98" s="52"/>
      <c r="BS98" s="52"/>
      <c r="BT98" s="52"/>
      <c r="BU98" s="52"/>
      <c r="BV98" s="52"/>
      <c r="BW98" s="52"/>
      <c r="BX98" s="52"/>
      <c r="BY98" s="52"/>
      <c r="BZ98" s="52"/>
      <c r="CA98" s="52"/>
      <c r="CB98" s="52"/>
      <c r="CC98" s="52"/>
      <c r="CD98" s="52"/>
      <c r="CE98" s="52"/>
      <c r="CF98" s="52"/>
      <c r="CG98" s="52"/>
      <c r="CH98" s="52"/>
      <c r="CI98" s="52"/>
      <c r="CJ98" s="52"/>
      <c r="CK98" s="52"/>
      <c r="CL98" s="52"/>
      <c r="CM98" s="52"/>
      <c r="CN98" s="52"/>
      <c r="CO98" s="52"/>
      <c r="CP98" s="52"/>
      <c r="CQ98" s="52"/>
      <c r="CR98" s="52"/>
    </row>
    <row r="99" spans="1:96" s="6" customFormat="1" x14ac:dyDescent="0.25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  <c r="BS99" s="52"/>
      <c r="BT99" s="52"/>
      <c r="BU99" s="52"/>
      <c r="BV99" s="52"/>
      <c r="BW99" s="52"/>
      <c r="BX99" s="52"/>
      <c r="BY99" s="52"/>
      <c r="BZ99" s="52"/>
      <c r="CA99" s="52"/>
      <c r="CB99" s="52"/>
      <c r="CC99" s="52"/>
      <c r="CD99" s="52"/>
      <c r="CE99" s="52"/>
      <c r="CF99" s="52"/>
      <c r="CG99" s="52"/>
      <c r="CH99" s="52"/>
      <c r="CI99" s="52"/>
      <c r="CJ99" s="52"/>
      <c r="CK99" s="52"/>
      <c r="CL99" s="52"/>
      <c r="CM99" s="52"/>
      <c r="CN99" s="52"/>
      <c r="CO99" s="52"/>
      <c r="CP99" s="52"/>
      <c r="CQ99" s="52"/>
      <c r="CR99" s="52"/>
    </row>
    <row r="100" spans="1:96" s="6" customFormat="1" x14ac:dyDescent="0.25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  <c r="BS100" s="52"/>
      <c r="BT100" s="52"/>
      <c r="BU100" s="52"/>
      <c r="BV100" s="52"/>
      <c r="BW100" s="52"/>
      <c r="BX100" s="52"/>
      <c r="BY100" s="52"/>
      <c r="BZ100" s="52"/>
      <c r="CA100" s="52"/>
      <c r="CB100" s="52"/>
      <c r="CC100" s="52"/>
      <c r="CD100" s="52"/>
      <c r="CE100" s="52"/>
      <c r="CF100" s="52"/>
      <c r="CG100" s="52"/>
      <c r="CH100" s="52"/>
      <c r="CI100" s="52"/>
      <c r="CJ100" s="52"/>
      <c r="CK100" s="52"/>
      <c r="CL100" s="52"/>
      <c r="CM100" s="52"/>
      <c r="CN100" s="52"/>
      <c r="CO100" s="52"/>
      <c r="CP100" s="52"/>
      <c r="CQ100" s="52"/>
      <c r="CR100" s="52"/>
    </row>
    <row r="101" spans="1:96" s="6" customFormat="1" x14ac:dyDescent="0.25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2"/>
      <c r="BJ101" s="52"/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2"/>
      <c r="BY101" s="52"/>
      <c r="BZ101" s="52"/>
      <c r="CA101" s="52"/>
      <c r="CB101" s="52"/>
      <c r="CC101" s="52"/>
      <c r="CD101" s="52"/>
      <c r="CE101" s="52"/>
      <c r="CF101" s="52"/>
      <c r="CG101" s="52"/>
      <c r="CH101" s="52"/>
      <c r="CI101" s="52"/>
      <c r="CJ101" s="52"/>
      <c r="CK101" s="52"/>
      <c r="CL101" s="52"/>
      <c r="CM101" s="52"/>
      <c r="CN101" s="52"/>
      <c r="CO101" s="52"/>
      <c r="CP101" s="52"/>
      <c r="CQ101" s="52"/>
      <c r="CR101" s="52"/>
    </row>
    <row r="102" spans="1:96" s="6" customFormat="1" x14ac:dyDescent="0.25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2"/>
      <c r="BJ102" s="52"/>
      <c r="BK102" s="52"/>
      <c r="BL102" s="52"/>
      <c r="BM102" s="52"/>
      <c r="BN102" s="52"/>
      <c r="BO102" s="52"/>
      <c r="BP102" s="52"/>
      <c r="BQ102" s="52"/>
      <c r="BR102" s="52"/>
      <c r="BS102" s="52"/>
      <c r="BT102" s="52"/>
      <c r="BU102" s="52"/>
      <c r="BV102" s="52"/>
      <c r="BW102" s="52"/>
      <c r="BX102" s="52"/>
      <c r="BY102" s="52"/>
      <c r="BZ102" s="52"/>
      <c r="CA102" s="52"/>
      <c r="CB102" s="52"/>
      <c r="CC102" s="52"/>
      <c r="CD102" s="52"/>
      <c r="CE102" s="52"/>
      <c r="CF102" s="52"/>
      <c r="CG102" s="52"/>
      <c r="CH102" s="52"/>
      <c r="CI102" s="52"/>
      <c r="CJ102" s="52"/>
      <c r="CK102" s="52"/>
      <c r="CL102" s="52"/>
      <c r="CM102" s="52"/>
      <c r="CN102" s="52"/>
      <c r="CO102" s="52"/>
      <c r="CP102" s="52"/>
      <c r="CQ102" s="52"/>
      <c r="CR102" s="52"/>
    </row>
    <row r="103" spans="1:96" s="6" customFormat="1" x14ac:dyDescent="0.25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2"/>
      <c r="BJ103" s="52"/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2"/>
      <c r="BY103" s="52"/>
      <c r="BZ103" s="52"/>
      <c r="CA103" s="52"/>
      <c r="CB103" s="52"/>
      <c r="CC103" s="52"/>
      <c r="CD103" s="52"/>
      <c r="CE103" s="52"/>
      <c r="CF103" s="52"/>
      <c r="CG103" s="52"/>
      <c r="CH103" s="52"/>
      <c r="CI103" s="52"/>
      <c r="CJ103" s="52"/>
      <c r="CK103" s="52"/>
      <c r="CL103" s="52"/>
      <c r="CM103" s="52"/>
      <c r="CN103" s="52"/>
      <c r="CO103" s="52"/>
      <c r="CP103" s="52"/>
      <c r="CQ103" s="52"/>
      <c r="CR103" s="52"/>
    </row>
    <row r="104" spans="1:96" s="6" customFormat="1" x14ac:dyDescent="0.25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2"/>
      <c r="BI104" s="52"/>
      <c r="BJ104" s="52"/>
      <c r="BK104" s="52"/>
      <c r="BL104" s="52"/>
      <c r="BM104" s="52"/>
      <c r="BN104" s="52"/>
      <c r="BO104" s="52"/>
      <c r="BP104" s="52"/>
      <c r="BQ104" s="52"/>
      <c r="BR104" s="52"/>
      <c r="BS104" s="52"/>
      <c r="BT104" s="52"/>
      <c r="BU104" s="52"/>
      <c r="BV104" s="52"/>
      <c r="BW104" s="52"/>
      <c r="BX104" s="52"/>
      <c r="BY104" s="52"/>
      <c r="BZ104" s="52"/>
      <c r="CA104" s="52"/>
      <c r="CB104" s="52"/>
      <c r="CC104" s="52"/>
      <c r="CD104" s="52"/>
      <c r="CE104" s="52"/>
      <c r="CF104" s="52"/>
      <c r="CG104" s="52"/>
      <c r="CH104" s="52"/>
      <c r="CI104" s="52"/>
      <c r="CJ104" s="52"/>
      <c r="CK104" s="52"/>
      <c r="CL104" s="52"/>
      <c r="CM104" s="52"/>
      <c r="CN104" s="52"/>
      <c r="CO104" s="52"/>
      <c r="CP104" s="52"/>
      <c r="CQ104" s="52"/>
      <c r="CR104" s="52"/>
    </row>
    <row r="105" spans="1:96" s="6" customFormat="1" x14ac:dyDescent="0.25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</row>
    <row r="106" spans="1:96" s="6" customFormat="1" x14ac:dyDescent="0.25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</row>
    <row r="107" spans="1:96" s="6" customFormat="1" x14ac:dyDescent="0.25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</row>
    <row r="108" spans="1:96" s="36" customFormat="1" ht="8.25" customHeight="1" x14ac:dyDescent="0.25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</row>
    <row r="109" spans="1:96" s="36" customFormat="1" x14ac:dyDescent="0.25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</row>
  </sheetData>
  <mergeCells count="101">
    <mergeCell ref="A2:P2"/>
    <mergeCell ref="A3:P3"/>
    <mergeCell ref="A4:P4"/>
    <mergeCell ref="A5:P5"/>
    <mergeCell ref="Q7:AF7"/>
    <mergeCell ref="Q8:AF8"/>
    <mergeCell ref="Q9:AF9"/>
    <mergeCell ref="BN11:BN12"/>
    <mergeCell ref="BJ11:BL11"/>
    <mergeCell ref="AW11:AW12"/>
    <mergeCell ref="AX11:AX12"/>
    <mergeCell ref="AY11:AY12"/>
    <mergeCell ref="AZ11:AZ12"/>
    <mergeCell ref="BB11:BD11"/>
    <mergeCell ref="Q11:Q12"/>
    <mergeCell ref="R11:R12"/>
    <mergeCell ref="S11:S12"/>
    <mergeCell ref="T11:T12"/>
    <mergeCell ref="V11:X11"/>
    <mergeCell ref="Z11:AB11"/>
    <mergeCell ref="AD11:AF11"/>
    <mergeCell ref="BF11:BH11"/>
    <mergeCell ref="J11:L11"/>
    <mergeCell ref="N11:P11"/>
    <mergeCell ref="A11:A12"/>
    <mergeCell ref="B11:B12"/>
    <mergeCell ref="C11:C12"/>
    <mergeCell ref="D11:D12"/>
    <mergeCell ref="F11:H11"/>
    <mergeCell ref="A6:P6"/>
    <mergeCell ref="Q10:AF10"/>
    <mergeCell ref="Q6:AF6"/>
    <mergeCell ref="A7:P7"/>
    <mergeCell ref="A8:P8"/>
    <mergeCell ref="A9:P9"/>
    <mergeCell ref="A10:P10"/>
    <mergeCell ref="Q1:AF1"/>
    <mergeCell ref="Q2:AF2"/>
    <mergeCell ref="Q3:AF3"/>
    <mergeCell ref="Q4:AF4"/>
    <mergeCell ref="Q5:AF5"/>
    <mergeCell ref="BM1:CB1"/>
    <mergeCell ref="BM2:CB2"/>
    <mergeCell ref="BM3:CB3"/>
    <mergeCell ref="BM4:CB4"/>
    <mergeCell ref="BM5:CB5"/>
    <mergeCell ref="AW1:BL1"/>
    <mergeCell ref="AW2:BL2"/>
    <mergeCell ref="AW3:BL3"/>
    <mergeCell ref="AW4:BL4"/>
    <mergeCell ref="AW5:BL5"/>
    <mergeCell ref="AG1:AV1"/>
    <mergeCell ref="AG2:AV2"/>
    <mergeCell ref="AG3:AV3"/>
    <mergeCell ref="AG4:AV4"/>
    <mergeCell ref="AG5:AV5"/>
    <mergeCell ref="AW7:BL7"/>
    <mergeCell ref="AW8:BL8"/>
    <mergeCell ref="AW9:BL9"/>
    <mergeCell ref="AW10:BL10"/>
    <mergeCell ref="CH11:CJ11"/>
    <mergeCell ref="CC1:CR1"/>
    <mergeCell ref="CC2:CR2"/>
    <mergeCell ref="CC3:CR3"/>
    <mergeCell ref="CC4:CR4"/>
    <mergeCell ref="CC5:CR5"/>
    <mergeCell ref="CC6:CR6"/>
    <mergeCell ref="CC7:CR7"/>
    <mergeCell ref="CC8:CR8"/>
    <mergeCell ref="CC9:CR9"/>
    <mergeCell ref="CC10:CR10"/>
    <mergeCell ref="CL11:CN11"/>
    <mergeCell ref="CP11:CR11"/>
    <mergeCell ref="CC11:CC12"/>
    <mergeCell ref="CD11:CD12"/>
    <mergeCell ref="CE11:CE12"/>
    <mergeCell ref="CF11:CF12"/>
    <mergeCell ref="AG6:AV6"/>
    <mergeCell ref="AG7:AV7"/>
    <mergeCell ref="AG8:AV8"/>
    <mergeCell ref="AG9:AV9"/>
    <mergeCell ref="BV11:BX11"/>
    <mergeCell ref="BZ11:CB11"/>
    <mergeCell ref="BM6:CB6"/>
    <mergeCell ref="BM7:CB7"/>
    <mergeCell ref="BM8:CB8"/>
    <mergeCell ref="BM9:CB9"/>
    <mergeCell ref="BM10:CB10"/>
    <mergeCell ref="BM11:BM12"/>
    <mergeCell ref="AP11:AR11"/>
    <mergeCell ref="AT11:AV11"/>
    <mergeCell ref="AG10:AV10"/>
    <mergeCell ref="AG11:AG12"/>
    <mergeCell ref="AH11:AH12"/>
    <mergeCell ref="AI11:AI12"/>
    <mergeCell ref="AJ11:AJ12"/>
    <mergeCell ref="AL11:AN11"/>
    <mergeCell ref="BO11:BO12"/>
    <mergeCell ref="BP11:BP12"/>
    <mergeCell ref="BR11:BT11"/>
    <mergeCell ref="AW6:BL6"/>
  </mergeCells>
  <printOptions horizontalCentered="1"/>
  <pageMargins left="0.31496062992125984" right="0.31496062992125984" top="0.74803149606299213" bottom="0.35433070866141736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zoomScaleNormal="100" workbookViewId="0">
      <selection activeCell="E16" sqref="E16"/>
    </sheetView>
  </sheetViews>
  <sheetFormatPr defaultRowHeight="15" x14ac:dyDescent="0.25"/>
  <cols>
    <col min="1" max="1" width="4.5703125" style="20" customWidth="1"/>
    <col min="2" max="2" width="4.85546875" style="20" customWidth="1"/>
    <col min="3" max="3" width="23.28515625" style="20" bestFit="1" customWidth="1"/>
    <col min="4" max="4" width="19.7109375" style="20" bestFit="1" customWidth="1"/>
    <col min="5" max="5" width="12.28515625" style="20" bestFit="1" customWidth="1"/>
    <col min="6" max="6" width="10" style="20" bestFit="1" customWidth="1"/>
    <col min="7" max="7" width="7.5703125" style="20" customWidth="1"/>
    <col min="8" max="8" width="8.7109375" style="20" customWidth="1"/>
    <col min="9" max="16384" width="9.140625" style="20"/>
  </cols>
  <sheetData>
    <row r="1" spans="1:16" x14ac:dyDescent="0.25">
      <c r="A1" s="79" t="str">
        <f>Данные!B66</f>
        <v>Российская автомобильная федерация</v>
      </c>
      <c r="B1" s="79"/>
      <c r="C1" s="79"/>
      <c r="D1" s="79"/>
      <c r="E1" s="79"/>
      <c r="F1" s="79"/>
      <c r="G1" s="79"/>
      <c r="H1" s="79"/>
    </row>
    <row r="2" spans="1:16" x14ac:dyDescent="0.25">
      <c r="A2" s="79" t="str">
        <f>Данные!B67</f>
        <v>ФАС Челябинской области</v>
      </c>
      <c r="B2" s="79"/>
      <c r="C2" s="79"/>
      <c r="D2" s="79"/>
      <c r="E2" s="79"/>
      <c r="F2" s="79"/>
      <c r="G2" s="79"/>
      <c r="H2" s="79"/>
    </row>
    <row r="3" spans="1:16" x14ac:dyDescent="0.25">
      <c r="A3" s="79" t="str">
        <f>Данные!B68</f>
        <v xml:space="preserve">Команда  Red Off-road Expedition </v>
      </c>
      <c r="B3" s="79"/>
      <c r="C3" s="79"/>
      <c r="D3" s="79"/>
      <c r="E3" s="79"/>
      <c r="F3" s="79"/>
      <c r="G3" s="79"/>
      <c r="H3" s="79"/>
    </row>
    <row r="4" spans="1:16" x14ac:dyDescent="0.25">
      <c r="A4" s="79" t="str">
        <f>Данные!B69</f>
        <v>ООО «Внедорожный центр 4х4»</v>
      </c>
      <c r="B4" s="79"/>
      <c r="C4" s="79"/>
      <c r="D4" s="79"/>
      <c r="E4" s="79"/>
      <c r="F4" s="79"/>
      <c r="G4" s="79"/>
      <c r="H4" s="79"/>
    </row>
    <row r="5" spans="1:16" x14ac:dyDescent="0.25">
      <c r="A5" s="79" t="str">
        <f>Данные!B70</f>
        <v>Команда Pro-X</v>
      </c>
      <c r="B5" s="79"/>
      <c r="C5" s="79"/>
      <c r="D5" s="79"/>
      <c r="E5" s="79"/>
      <c r="F5" s="79"/>
      <c r="G5" s="79"/>
      <c r="H5" s="79"/>
    </row>
    <row r="6" spans="1:16" x14ac:dyDescent="0.25">
      <c r="A6" s="79" t="str">
        <f>Данные!B71</f>
        <v>Этап кубка Урало-Сибирской зоны по трофи-рейдам</v>
      </c>
      <c r="B6" s="79"/>
      <c r="C6" s="79"/>
      <c r="D6" s="79"/>
      <c r="E6" s="79"/>
      <c r="F6" s="79"/>
      <c r="G6" s="79"/>
      <c r="H6" s="79"/>
    </row>
    <row r="7" spans="1:16" x14ac:dyDescent="0.25">
      <c r="A7" s="99"/>
      <c r="B7" s="99"/>
      <c r="C7" s="99"/>
      <c r="D7" s="99"/>
      <c r="E7" s="99"/>
      <c r="F7" s="99"/>
      <c r="G7" s="99"/>
      <c r="H7" s="99"/>
    </row>
    <row r="8" spans="1:16" x14ac:dyDescent="0.25">
      <c r="A8" s="100">
        <v>43358</v>
      </c>
      <c r="B8" s="100"/>
      <c r="C8" s="100"/>
      <c r="H8" s="21" t="s">
        <v>159</v>
      </c>
    </row>
    <row r="9" spans="1:16" x14ac:dyDescent="0.25">
      <c r="A9" s="81" t="s">
        <v>163</v>
      </c>
      <c r="B9" s="81"/>
      <c r="C9" s="81"/>
      <c r="D9" s="81"/>
      <c r="E9" s="81"/>
      <c r="F9" s="81"/>
      <c r="G9" s="81"/>
      <c r="H9" s="81"/>
    </row>
    <row r="10" spans="1:16" s="19" customFormat="1" x14ac:dyDescent="0.25">
      <c r="A10" s="20" t="str">
        <f>Данные!B61</f>
        <v>ОФИЦИАЛЬНО</v>
      </c>
      <c r="B10" s="20"/>
      <c r="C10" s="20"/>
      <c r="D10" s="20"/>
      <c r="E10" s="20"/>
      <c r="F10" s="20"/>
      <c r="G10" s="20"/>
      <c r="H10" s="53">
        <f>Данные!C61</f>
        <v>0.91666666666666663</v>
      </c>
    </row>
    <row r="11" spans="1:16" x14ac:dyDescent="0.25">
      <c r="A11" s="82" t="s">
        <v>154</v>
      </c>
      <c r="B11" s="82" t="s">
        <v>111</v>
      </c>
      <c r="C11" s="82" t="s">
        <v>1</v>
      </c>
      <c r="D11" s="82" t="s">
        <v>3</v>
      </c>
      <c r="E11" s="83" t="s">
        <v>4</v>
      </c>
      <c r="F11" s="92" t="s">
        <v>155</v>
      </c>
      <c r="G11" s="94" t="s">
        <v>156</v>
      </c>
      <c r="H11" s="82"/>
    </row>
    <row r="12" spans="1:16" s="3" customFormat="1" ht="33.75" x14ac:dyDescent="0.25">
      <c r="A12" s="82"/>
      <c r="B12" s="82"/>
      <c r="C12" s="82"/>
      <c r="D12" s="82"/>
      <c r="E12" s="83"/>
      <c r="F12" s="93"/>
      <c r="G12" s="28" t="s">
        <v>161</v>
      </c>
      <c r="H12" s="28" t="s">
        <v>160</v>
      </c>
    </row>
    <row r="13" spans="1:16" s="3" customFormat="1" ht="18.75" x14ac:dyDescent="0.25">
      <c r="A13" s="26" t="e">
        <f t="shared" ref="A13:A27" si="0">VLOOKUP($B13,TAB,133,FALSE)</f>
        <v>#N/A</v>
      </c>
      <c r="B13" s="25">
        <v>1</v>
      </c>
      <c r="C13" s="11" t="e">
        <f t="shared" ref="C13:C27" si="1">VLOOKUP($B13,TAB,2,FALSE)</f>
        <v>#N/A</v>
      </c>
      <c r="D13" s="11" t="e">
        <f t="shared" ref="D13:D27" si="2">VLOOKUP($B13,TAB,4,FALSE)</f>
        <v>#N/A</v>
      </c>
      <c r="E13" s="11" t="e">
        <f t="shared" ref="E13:E27" si="3">VLOOKUP($B13,TAB,5,FALSE)</f>
        <v>#N/A</v>
      </c>
      <c r="F13" s="26" t="e">
        <f t="shared" ref="F13:F27" si="4">VLOOKUP($B13,TAB,132,FALSE)</f>
        <v>#N/A</v>
      </c>
      <c r="G13" s="27" t="e">
        <f t="shared" ref="G13:G27" si="5">IF(F13="СХОД","СХОД",IF(A13=1,"**",F$13-F13))</f>
        <v>#N/A</v>
      </c>
      <c r="H13" s="27" t="e">
        <f t="shared" ref="H13:H27" si="6">IF(F13="СХОД","СХОД",IF(A13=1,"**",F12-F13))</f>
        <v>#N/A</v>
      </c>
      <c r="I13" s="6"/>
      <c r="J13" s="6"/>
      <c r="K13" s="6"/>
      <c r="L13" s="6"/>
      <c r="M13" s="6"/>
      <c r="N13" s="6"/>
      <c r="O13" s="6"/>
      <c r="P13" s="6"/>
    </row>
    <row r="14" spans="1:16" s="6" customFormat="1" ht="18.75" x14ac:dyDescent="0.25">
      <c r="A14" s="26" t="e">
        <f t="shared" si="0"/>
        <v>#N/A</v>
      </c>
      <c r="B14" s="25">
        <v>2</v>
      </c>
      <c r="C14" s="11" t="e">
        <f t="shared" si="1"/>
        <v>#N/A</v>
      </c>
      <c r="D14" s="11" t="e">
        <f t="shared" si="2"/>
        <v>#N/A</v>
      </c>
      <c r="E14" s="11" t="e">
        <f t="shared" si="3"/>
        <v>#N/A</v>
      </c>
      <c r="F14" s="26" t="e">
        <f t="shared" si="4"/>
        <v>#N/A</v>
      </c>
      <c r="G14" s="27" t="e">
        <f t="shared" si="5"/>
        <v>#N/A</v>
      </c>
      <c r="H14" s="27" t="e">
        <f t="shared" si="6"/>
        <v>#N/A</v>
      </c>
    </row>
    <row r="15" spans="1:16" s="6" customFormat="1" ht="18.75" x14ac:dyDescent="0.25">
      <c r="A15" s="26" t="e">
        <f t="shared" si="0"/>
        <v>#N/A</v>
      </c>
      <c r="B15" s="25">
        <v>3</v>
      </c>
      <c r="C15" s="11" t="e">
        <f t="shared" si="1"/>
        <v>#N/A</v>
      </c>
      <c r="D15" s="11" t="e">
        <f t="shared" si="2"/>
        <v>#N/A</v>
      </c>
      <c r="E15" s="11" t="e">
        <f t="shared" si="3"/>
        <v>#N/A</v>
      </c>
      <c r="F15" s="26" t="e">
        <f t="shared" si="4"/>
        <v>#N/A</v>
      </c>
      <c r="G15" s="27" t="e">
        <f t="shared" si="5"/>
        <v>#N/A</v>
      </c>
      <c r="H15" s="27" t="e">
        <f t="shared" si="6"/>
        <v>#N/A</v>
      </c>
    </row>
    <row r="16" spans="1:16" s="6" customFormat="1" ht="18.75" x14ac:dyDescent="0.25">
      <c r="A16" s="26" t="e">
        <f t="shared" si="0"/>
        <v>#N/A</v>
      </c>
      <c r="B16" s="25">
        <v>4</v>
      </c>
      <c r="C16" s="11" t="e">
        <f t="shared" si="1"/>
        <v>#N/A</v>
      </c>
      <c r="D16" s="11" t="e">
        <f t="shared" si="2"/>
        <v>#N/A</v>
      </c>
      <c r="E16" s="11" t="e">
        <f t="shared" si="3"/>
        <v>#N/A</v>
      </c>
      <c r="F16" s="26" t="e">
        <f t="shared" si="4"/>
        <v>#N/A</v>
      </c>
      <c r="G16" s="27" t="e">
        <f t="shared" si="5"/>
        <v>#N/A</v>
      </c>
      <c r="H16" s="27" t="e">
        <f t="shared" si="6"/>
        <v>#N/A</v>
      </c>
    </row>
    <row r="17" spans="1:16" s="6" customFormat="1" ht="18.75" x14ac:dyDescent="0.25">
      <c r="A17" s="26" t="e">
        <f t="shared" si="0"/>
        <v>#N/A</v>
      </c>
      <c r="B17" s="25">
        <v>5</v>
      </c>
      <c r="C17" s="11" t="e">
        <f t="shared" si="1"/>
        <v>#N/A</v>
      </c>
      <c r="D17" s="11" t="e">
        <f t="shared" si="2"/>
        <v>#N/A</v>
      </c>
      <c r="E17" s="11" t="e">
        <f t="shared" si="3"/>
        <v>#N/A</v>
      </c>
      <c r="F17" s="26" t="e">
        <f t="shared" si="4"/>
        <v>#N/A</v>
      </c>
      <c r="G17" s="27" t="e">
        <f t="shared" si="5"/>
        <v>#N/A</v>
      </c>
      <c r="H17" s="27" t="e">
        <f t="shared" si="6"/>
        <v>#N/A</v>
      </c>
      <c r="I17" s="3"/>
      <c r="J17" s="3"/>
      <c r="K17" s="3"/>
      <c r="L17" s="3"/>
      <c r="M17" s="3"/>
      <c r="N17" s="3"/>
      <c r="O17" s="3"/>
      <c r="P17" s="3"/>
    </row>
    <row r="18" spans="1:16" s="6" customFormat="1" ht="18.75" x14ac:dyDescent="0.25">
      <c r="A18" s="26" t="e">
        <f t="shared" si="0"/>
        <v>#N/A</v>
      </c>
      <c r="B18" s="25">
        <v>6</v>
      </c>
      <c r="C18" s="11" t="e">
        <f t="shared" si="1"/>
        <v>#N/A</v>
      </c>
      <c r="D18" s="11" t="e">
        <f t="shared" si="2"/>
        <v>#N/A</v>
      </c>
      <c r="E18" s="11" t="e">
        <f t="shared" si="3"/>
        <v>#N/A</v>
      </c>
      <c r="F18" s="26" t="e">
        <f t="shared" si="4"/>
        <v>#N/A</v>
      </c>
      <c r="G18" s="27" t="e">
        <f t="shared" si="5"/>
        <v>#N/A</v>
      </c>
      <c r="H18" s="27" t="e">
        <f t="shared" si="6"/>
        <v>#N/A</v>
      </c>
    </row>
    <row r="19" spans="1:16" s="6" customFormat="1" ht="18.75" x14ac:dyDescent="0.25">
      <c r="A19" s="26" t="e">
        <f t="shared" si="0"/>
        <v>#N/A</v>
      </c>
      <c r="B19" s="25">
        <v>7</v>
      </c>
      <c r="C19" s="11" t="e">
        <f t="shared" si="1"/>
        <v>#N/A</v>
      </c>
      <c r="D19" s="11" t="e">
        <f t="shared" si="2"/>
        <v>#N/A</v>
      </c>
      <c r="E19" s="11" t="e">
        <f t="shared" si="3"/>
        <v>#N/A</v>
      </c>
      <c r="F19" s="26" t="e">
        <f t="shared" si="4"/>
        <v>#N/A</v>
      </c>
      <c r="G19" s="27" t="e">
        <f t="shared" si="5"/>
        <v>#N/A</v>
      </c>
      <c r="H19" s="27" t="e">
        <f t="shared" si="6"/>
        <v>#N/A</v>
      </c>
    </row>
    <row r="20" spans="1:16" s="6" customFormat="1" ht="18.75" x14ac:dyDescent="0.25">
      <c r="A20" s="26" t="e">
        <f t="shared" si="0"/>
        <v>#N/A</v>
      </c>
      <c r="B20" s="25">
        <v>8</v>
      </c>
      <c r="C20" s="11" t="e">
        <f t="shared" si="1"/>
        <v>#N/A</v>
      </c>
      <c r="D20" s="11" t="e">
        <f t="shared" si="2"/>
        <v>#N/A</v>
      </c>
      <c r="E20" s="11" t="e">
        <f t="shared" si="3"/>
        <v>#N/A</v>
      </c>
      <c r="F20" s="26" t="e">
        <f t="shared" si="4"/>
        <v>#N/A</v>
      </c>
      <c r="G20" s="27" t="e">
        <f t="shared" si="5"/>
        <v>#N/A</v>
      </c>
      <c r="H20" s="27" t="e">
        <f t="shared" si="6"/>
        <v>#N/A</v>
      </c>
    </row>
    <row r="21" spans="1:16" s="6" customFormat="1" ht="18.75" x14ac:dyDescent="0.25">
      <c r="A21" s="26" t="e">
        <f t="shared" si="0"/>
        <v>#N/A</v>
      </c>
      <c r="B21" s="25">
        <v>9</v>
      </c>
      <c r="C21" s="11" t="e">
        <f t="shared" si="1"/>
        <v>#N/A</v>
      </c>
      <c r="D21" s="11" t="e">
        <f t="shared" si="2"/>
        <v>#N/A</v>
      </c>
      <c r="E21" s="11" t="e">
        <f t="shared" si="3"/>
        <v>#N/A</v>
      </c>
      <c r="F21" s="26" t="e">
        <f t="shared" si="4"/>
        <v>#N/A</v>
      </c>
      <c r="G21" s="27" t="e">
        <f t="shared" si="5"/>
        <v>#N/A</v>
      </c>
      <c r="H21" s="27" t="e">
        <f t="shared" si="6"/>
        <v>#N/A</v>
      </c>
    </row>
    <row r="22" spans="1:16" s="6" customFormat="1" ht="18.75" x14ac:dyDescent="0.25">
      <c r="A22" s="26" t="e">
        <f t="shared" si="0"/>
        <v>#N/A</v>
      </c>
      <c r="B22" s="25">
        <v>10</v>
      </c>
      <c r="C22" s="11" t="e">
        <f t="shared" si="1"/>
        <v>#N/A</v>
      </c>
      <c r="D22" s="11" t="e">
        <f t="shared" si="2"/>
        <v>#N/A</v>
      </c>
      <c r="E22" s="11" t="e">
        <f t="shared" si="3"/>
        <v>#N/A</v>
      </c>
      <c r="F22" s="26" t="e">
        <f t="shared" si="4"/>
        <v>#N/A</v>
      </c>
      <c r="G22" s="27" t="e">
        <f t="shared" si="5"/>
        <v>#N/A</v>
      </c>
      <c r="H22" s="27" t="e">
        <f t="shared" si="6"/>
        <v>#N/A</v>
      </c>
    </row>
    <row r="23" spans="1:16" s="6" customFormat="1" ht="18.75" x14ac:dyDescent="0.25">
      <c r="A23" s="26" t="e">
        <f t="shared" si="0"/>
        <v>#N/A</v>
      </c>
      <c r="B23" s="25">
        <v>11</v>
      </c>
      <c r="C23" s="11" t="e">
        <f t="shared" si="1"/>
        <v>#N/A</v>
      </c>
      <c r="D23" s="11" t="e">
        <f t="shared" si="2"/>
        <v>#N/A</v>
      </c>
      <c r="E23" s="11" t="e">
        <f t="shared" si="3"/>
        <v>#N/A</v>
      </c>
      <c r="F23" s="26" t="e">
        <f t="shared" si="4"/>
        <v>#N/A</v>
      </c>
      <c r="G23" s="27" t="e">
        <f t="shared" si="5"/>
        <v>#N/A</v>
      </c>
      <c r="H23" s="27" t="e">
        <f t="shared" si="6"/>
        <v>#N/A</v>
      </c>
    </row>
    <row r="24" spans="1:16" s="6" customFormat="1" ht="18.75" x14ac:dyDescent="0.25">
      <c r="A24" s="26" t="e">
        <f t="shared" si="0"/>
        <v>#N/A</v>
      </c>
      <c r="B24" s="25">
        <v>12</v>
      </c>
      <c r="C24" s="11" t="e">
        <f t="shared" si="1"/>
        <v>#N/A</v>
      </c>
      <c r="D24" s="11" t="e">
        <f t="shared" si="2"/>
        <v>#N/A</v>
      </c>
      <c r="E24" s="11" t="e">
        <f t="shared" si="3"/>
        <v>#N/A</v>
      </c>
      <c r="F24" s="26" t="e">
        <f t="shared" si="4"/>
        <v>#N/A</v>
      </c>
      <c r="G24" s="27" t="e">
        <f t="shared" si="5"/>
        <v>#N/A</v>
      </c>
      <c r="H24" s="27" t="e">
        <f t="shared" si="6"/>
        <v>#N/A</v>
      </c>
    </row>
    <row r="25" spans="1:16" s="6" customFormat="1" ht="18.75" x14ac:dyDescent="0.25">
      <c r="A25" s="26" t="e">
        <f t="shared" si="0"/>
        <v>#N/A</v>
      </c>
      <c r="B25" s="25">
        <v>13</v>
      </c>
      <c r="C25" s="11" t="e">
        <f t="shared" si="1"/>
        <v>#N/A</v>
      </c>
      <c r="D25" s="11" t="e">
        <f t="shared" si="2"/>
        <v>#N/A</v>
      </c>
      <c r="E25" s="11" t="e">
        <f t="shared" si="3"/>
        <v>#N/A</v>
      </c>
      <c r="F25" s="26" t="e">
        <f t="shared" si="4"/>
        <v>#N/A</v>
      </c>
      <c r="G25" s="27" t="e">
        <f t="shared" si="5"/>
        <v>#N/A</v>
      </c>
      <c r="H25" s="27" t="e">
        <f t="shared" si="6"/>
        <v>#N/A</v>
      </c>
    </row>
    <row r="26" spans="1:16" s="6" customFormat="1" ht="18.75" x14ac:dyDescent="0.25">
      <c r="A26" s="26" t="e">
        <f t="shared" si="0"/>
        <v>#N/A</v>
      </c>
      <c r="B26" s="25">
        <v>14</v>
      </c>
      <c r="C26" s="11" t="e">
        <f t="shared" si="1"/>
        <v>#N/A</v>
      </c>
      <c r="D26" s="11" t="e">
        <f t="shared" si="2"/>
        <v>#N/A</v>
      </c>
      <c r="E26" s="11" t="e">
        <f t="shared" si="3"/>
        <v>#N/A</v>
      </c>
      <c r="F26" s="26" t="e">
        <f t="shared" si="4"/>
        <v>#N/A</v>
      </c>
      <c r="G26" s="27" t="e">
        <f t="shared" si="5"/>
        <v>#N/A</v>
      </c>
      <c r="H26" s="27" t="e">
        <f t="shared" si="6"/>
        <v>#N/A</v>
      </c>
    </row>
    <row r="27" spans="1:16" s="6" customFormat="1" ht="18.75" x14ac:dyDescent="0.25">
      <c r="A27" s="26" t="e">
        <f t="shared" si="0"/>
        <v>#N/A</v>
      </c>
      <c r="B27" s="25">
        <v>15</v>
      </c>
      <c r="C27" s="11" t="e">
        <f t="shared" si="1"/>
        <v>#N/A</v>
      </c>
      <c r="D27" s="11" t="e">
        <f t="shared" si="2"/>
        <v>#N/A</v>
      </c>
      <c r="E27" s="11" t="e">
        <f t="shared" si="3"/>
        <v>#N/A</v>
      </c>
      <c r="F27" s="26" t="e">
        <f t="shared" si="4"/>
        <v>#N/A</v>
      </c>
      <c r="G27" s="27" t="e">
        <f t="shared" si="5"/>
        <v>#N/A</v>
      </c>
      <c r="H27" s="27" t="e">
        <f t="shared" si="6"/>
        <v>#N/A</v>
      </c>
    </row>
    <row r="28" spans="1:16" s="6" customFormat="1" x14ac:dyDescent="0.25">
      <c r="A28" s="32"/>
      <c r="B28" s="33"/>
      <c r="C28" s="33"/>
      <c r="D28" s="33"/>
      <c r="E28" s="34"/>
      <c r="F28" s="35"/>
      <c r="G28" s="35"/>
      <c r="H28" s="35"/>
    </row>
    <row r="29" spans="1:16" s="36" customFormat="1" x14ac:dyDescent="0.25">
      <c r="A29" s="38"/>
      <c r="B29" s="37" t="s">
        <v>157</v>
      </c>
      <c r="C29" s="37"/>
      <c r="D29" s="37"/>
      <c r="E29" s="37" t="s">
        <v>158</v>
      </c>
      <c r="F29" s="40"/>
      <c r="G29" s="40"/>
      <c r="H29" s="40"/>
      <c r="I29" s="34"/>
      <c r="J29" s="35"/>
      <c r="K29" s="35"/>
      <c r="L29" s="35"/>
      <c r="M29" s="34"/>
      <c r="N29" s="35"/>
      <c r="O29" s="35"/>
      <c r="P29" s="35"/>
    </row>
    <row r="30" spans="1:16" s="41" customFormat="1" x14ac:dyDescent="0.25">
      <c r="A30" s="20"/>
      <c r="B30" s="20"/>
      <c r="C30" s="20"/>
      <c r="D30" s="20"/>
      <c r="E30" s="20"/>
      <c r="F30" s="20"/>
      <c r="G30" s="20"/>
      <c r="H30" s="20"/>
      <c r="I30" s="39"/>
      <c r="J30" s="40"/>
      <c r="L30" s="40"/>
      <c r="M30" s="39"/>
      <c r="N30" s="40"/>
      <c r="O30" s="40"/>
      <c r="P30" s="40"/>
    </row>
  </sheetData>
  <sortState ref="A13:P27">
    <sortCondition ref="B13:B27"/>
  </sortState>
  <mergeCells count="16">
    <mergeCell ref="G11:H11"/>
    <mergeCell ref="A7:H7"/>
    <mergeCell ref="A8:C8"/>
    <mergeCell ref="A9:H9"/>
    <mergeCell ref="A11:A12"/>
    <mergeCell ref="B11:B12"/>
    <mergeCell ref="C11:C12"/>
    <mergeCell ref="D11:D12"/>
    <mergeCell ref="E11:E12"/>
    <mergeCell ref="F11:F12"/>
    <mergeCell ref="A6:H6"/>
    <mergeCell ref="A1:H1"/>
    <mergeCell ref="A2:H2"/>
    <mergeCell ref="A3:H3"/>
    <mergeCell ref="A4:H4"/>
    <mergeCell ref="A5:H5"/>
  </mergeCells>
  <printOptions horizontalCentered="1"/>
  <pageMargins left="0.31496062992125984" right="0.31496062992125984" top="0.74803149606299213" bottom="0.35433070866141736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A102"/>
  <sheetViews>
    <sheetView tabSelected="1" topLeftCell="BP1" zoomScaleNormal="100" workbookViewId="0">
      <selection activeCell="BE10" sqref="BE10:BT10"/>
    </sheetView>
  </sheetViews>
  <sheetFormatPr defaultRowHeight="15" x14ac:dyDescent="0.25"/>
  <cols>
    <col min="1" max="1" width="5.28515625" style="63" customWidth="1"/>
    <col min="2" max="2" width="23.28515625" style="63" customWidth="1"/>
    <col min="3" max="3" width="19.7109375" style="63" customWidth="1"/>
    <col min="4" max="4" width="12.28515625" style="63" customWidth="1"/>
    <col min="5" max="5" width="7.140625" style="63" customWidth="1"/>
    <col min="6" max="8" width="6.28515625" style="63" customWidth="1"/>
    <col min="9" max="9" width="7.140625" style="63" hidden="1" customWidth="1"/>
    <col min="10" max="12" width="6.28515625" style="63" hidden="1" customWidth="1"/>
    <col min="13" max="13" width="7.140625" style="63" hidden="1" customWidth="1"/>
    <col min="14" max="16" width="6.28515625" style="63" hidden="1" customWidth="1"/>
    <col min="17" max="17" width="5.7109375" style="63" hidden="1" customWidth="1"/>
    <col min="18" max="18" width="23.28515625" style="63" hidden="1" customWidth="1"/>
    <col min="19" max="19" width="19.7109375" style="63" hidden="1" customWidth="1"/>
    <col min="20" max="20" width="12.28515625" style="63" hidden="1" customWidth="1"/>
    <col min="21" max="21" width="7.140625" style="78" customWidth="1"/>
    <col min="22" max="22" width="6.28515625" style="78" customWidth="1"/>
    <col min="23" max="23" width="6.28515625" style="78" bestFit="1" customWidth="1"/>
    <col min="24" max="24" width="6.28515625" style="78" customWidth="1"/>
    <col min="25" max="25" width="7.140625" style="78" bestFit="1" customWidth="1"/>
    <col min="26" max="28" width="6.28515625" style="78" customWidth="1"/>
    <col min="29" max="29" width="7.140625" style="63" customWidth="1"/>
    <col min="30" max="30" width="6.28515625" style="63" customWidth="1"/>
    <col min="31" max="31" width="6.28515625" style="63" bestFit="1" customWidth="1"/>
    <col min="32" max="32" width="6.28515625" style="63" customWidth="1"/>
    <col min="33" max="33" width="7.140625" style="63" bestFit="1" customWidth="1"/>
    <col min="34" max="36" width="6.28515625" style="63" customWidth="1"/>
    <col min="37" max="37" width="7.140625" style="63" bestFit="1" customWidth="1"/>
    <col min="38" max="40" width="6.28515625" style="63" customWidth="1"/>
    <col min="41" max="41" width="5.28515625" style="63" hidden="1" customWidth="1"/>
    <col min="42" max="42" width="23.28515625" style="63" hidden="1" customWidth="1"/>
    <col min="43" max="43" width="19.7109375" style="63" hidden="1" customWidth="1"/>
    <col min="44" max="44" width="12.28515625" style="63" hidden="1" customWidth="1"/>
    <col min="45" max="45" width="7.140625" style="63" bestFit="1" customWidth="1"/>
    <col min="46" max="46" width="6.28515625" style="63" customWidth="1"/>
    <col min="47" max="47" width="6.28515625" style="63" bestFit="1" customWidth="1"/>
    <col min="48" max="48" width="6.28515625" style="63" customWidth="1"/>
    <col min="49" max="49" width="7.140625" style="63" bestFit="1" customWidth="1"/>
    <col min="50" max="52" width="6.28515625" style="63" customWidth="1"/>
    <col min="53" max="53" width="7.140625" style="63" bestFit="1" customWidth="1"/>
    <col min="54" max="56" width="6.28515625" style="63" customWidth="1"/>
    <col min="57" max="57" width="5.5703125" style="63" hidden="1" customWidth="1"/>
    <col min="58" max="58" width="23.28515625" style="63" hidden="1" customWidth="1"/>
    <col min="59" max="59" width="19.7109375" style="63" hidden="1" customWidth="1"/>
    <col min="60" max="60" width="12.28515625" style="63" hidden="1" customWidth="1"/>
    <col min="61" max="61" width="7.140625" style="63" bestFit="1" customWidth="1"/>
    <col min="62" max="62" width="6.28515625" style="63" customWidth="1"/>
    <col min="63" max="63" width="6.28515625" style="63" bestFit="1" customWidth="1"/>
    <col min="64" max="64" width="6.28515625" style="63" customWidth="1"/>
    <col min="65" max="65" width="7.140625" style="63" bestFit="1" customWidth="1"/>
    <col min="66" max="68" width="6.28515625" style="63" customWidth="1"/>
    <col min="69" max="69" width="7.140625" style="63" bestFit="1" customWidth="1"/>
    <col min="70" max="72" width="6.28515625" style="63" customWidth="1"/>
    <col min="73" max="73" width="5.5703125" style="63" hidden="1" customWidth="1"/>
    <col min="74" max="74" width="23.28515625" style="63" hidden="1" customWidth="1"/>
    <col min="75" max="75" width="19.7109375" style="63" hidden="1" customWidth="1"/>
    <col min="76" max="76" width="12.28515625" style="63" hidden="1" customWidth="1"/>
    <col min="77" max="77" width="7.140625" style="63" bestFit="1" customWidth="1"/>
    <col min="78" max="78" width="6.28515625" style="63" customWidth="1"/>
    <col min="79" max="79" width="6.28515625" style="63" bestFit="1" customWidth="1"/>
    <col min="80" max="80" width="6.28515625" style="63" customWidth="1"/>
    <col min="81" max="81" width="7.140625" style="63" bestFit="1" customWidth="1"/>
    <col min="82" max="84" width="6.28515625" style="63" customWidth="1"/>
    <col min="85" max="85" width="7.140625" style="63" bestFit="1" customWidth="1"/>
    <col min="86" max="88" width="6.28515625" style="63" customWidth="1"/>
    <col min="89" max="89" width="5.7109375" style="63" hidden="1" customWidth="1"/>
    <col min="90" max="90" width="23.28515625" style="63" hidden="1" customWidth="1"/>
    <col min="91" max="91" width="19.7109375" style="63" hidden="1" customWidth="1"/>
    <col min="92" max="92" width="12.28515625" style="63" hidden="1" customWidth="1"/>
    <col min="93" max="93" width="7.140625" style="63" bestFit="1" customWidth="1"/>
    <col min="94" max="94" width="6.28515625" style="63" customWidth="1"/>
    <col min="95" max="95" width="6.28515625" style="63" bestFit="1" customWidth="1"/>
    <col min="96" max="96" width="6.28515625" style="63" customWidth="1"/>
    <col min="97" max="97" width="7.140625" style="63" bestFit="1" customWidth="1"/>
    <col min="98" max="100" width="6.28515625" style="63" customWidth="1"/>
    <col min="101" max="101" width="7.140625" style="63" hidden="1" customWidth="1"/>
    <col min="102" max="104" width="6.28515625" style="63" hidden="1" customWidth="1"/>
    <col min="105" max="105" width="13.85546875" style="63" bestFit="1" customWidth="1"/>
    <col min="106" max="16384" width="9.140625" style="63"/>
  </cols>
  <sheetData>
    <row r="1" spans="1:105" x14ac:dyDescent="0.25">
      <c r="A1" s="60" t="str">
        <f>Данные!B66</f>
        <v>Российская автомобильная федерация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79" t="str">
        <f>Данные!B66</f>
        <v>Российская автомобильная федерация</v>
      </c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 t="str">
        <f>Данные!B66</f>
        <v>Российская автомобильная федерация</v>
      </c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 t="str">
        <f>Данные!B66</f>
        <v>Российская автомобильная федерация</v>
      </c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 t="str">
        <f>Данные!B66</f>
        <v>Российская автомобильная федерация</v>
      </c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/>
      <c r="CK1" s="79" t="str">
        <f>Данные!B66</f>
        <v>Российская автомобильная федерация</v>
      </c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</row>
    <row r="2" spans="1:105" x14ac:dyDescent="0.25">
      <c r="A2" s="79" t="str">
        <f>Данные!B67</f>
        <v>ФАС Челябинской области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 t="str">
        <f>Данные!B67</f>
        <v>ФАС Челябинской области</v>
      </c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 t="str">
        <f>Данные!B67</f>
        <v>ФАС Челябинской области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 t="str">
        <f>Данные!B67</f>
        <v>ФАС Челябинской области</v>
      </c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 t="str">
        <f>Данные!B67</f>
        <v>ФАС Челябинской области</v>
      </c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 t="str">
        <f>Данные!B67</f>
        <v>ФАС Челябинской области</v>
      </c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</row>
    <row r="3" spans="1:105" x14ac:dyDescent="0.25">
      <c r="A3" s="79" t="str">
        <f>Данные!B68</f>
        <v xml:space="preserve">Команда  Red Off-road Expedition 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 t="str">
        <f>Данные!B68</f>
        <v xml:space="preserve">Команда  Red Off-road Expedition </v>
      </c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 t="str">
        <f>Данные!B68</f>
        <v xml:space="preserve">Команда  Red Off-road Expedition </v>
      </c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 t="str">
        <f>Данные!B68</f>
        <v xml:space="preserve">Команда  Red Off-road Expedition </v>
      </c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  <c r="BQ3" s="79"/>
      <c r="BR3" s="79"/>
      <c r="BS3" s="79"/>
      <c r="BT3" s="79"/>
      <c r="BU3" s="79" t="str">
        <f>Данные!B68</f>
        <v xml:space="preserve">Команда  Red Off-road Expedition </v>
      </c>
      <c r="BV3" s="79"/>
      <c r="BW3" s="79"/>
      <c r="BX3" s="79"/>
      <c r="BY3" s="79"/>
      <c r="BZ3" s="79"/>
      <c r="CA3" s="79"/>
      <c r="CB3" s="79"/>
      <c r="CC3" s="79"/>
      <c r="CD3" s="79"/>
      <c r="CE3" s="79"/>
      <c r="CF3" s="79"/>
      <c r="CG3" s="79"/>
      <c r="CH3" s="79"/>
      <c r="CI3" s="79"/>
      <c r="CJ3" s="79"/>
      <c r="CK3" s="79" t="str">
        <f>Данные!B68</f>
        <v xml:space="preserve">Команда  Red Off-road Expedition </v>
      </c>
      <c r="CL3" s="79"/>
      <c r="CM3" s="79"/>
      <c r="CN3" s="79"/>
      <c r="CO3" s="79"/>
      <c r="CP3" s="79"/>
      <c r="CQ3" s="79"/>
      <c r="CR3" s="79"/>
      <c r="CS3" s="79"/>
      <c r="CT3" s="79"/>
      <c r="CU3" s="79"/>
      <c r="CV3" s="79"/>
      <c r="CW3" s="79"/>
      <c r="CX3" s="79"/>
      <c r="CY3" s="79"/>
      <c r="CZ3" s="79"/>
    </row>
    <row r="4" spans="1:105" x14ac:dyDescent="0.25">
      <c r="A4" s="79" t="str">
        <f>Данные!B69</f>
        <v>ООО «Внедорожный центр 4х4»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 t="str">
        <f>Данные!B69</f>
        <v>ООО «Внедорожный центр 4х4»</v>
      </c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 t="str">
        <f>Данные!B69</f>
        <v>ООО «Внедорожный центр 4х4»</v>
      </c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 t="str">
        <f>Данные!B69</f>
        <v>ООО «Внедорожный центр 4х4»</v>
      </c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 t="str">
        <f>Данные!B69</f>
        <v>ООО «Внедорожный центр 4х4»</v>
      </c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 t="str">
        <f>Данные!B69</f>
        <v>ООО «Внедорожный центр 4х4»</v>
      </c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</row>
    <row r="5" spans="1:105" x14ac:dyDescent="0.25">
      <c r="A5" s="79" t="str">
        <f>Данные!B70</f>
        <v>Команда Pro-X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 t="str">
        <f>Данные!B70</f>
        <v>Команда Pro-X</v>
      </c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 t="str">
        <f>Данные!B70</f>
        <v>Команда Pro-X</v>
      </c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 t="str">
        <f>Данные!B70</f>
        <v>Команда Pro-X</v>
      </c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 t="str">
        <f>Данные!B70</f>
        <v>Команда Pro-X</v>
      </c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 t="str">
        <f>Данные!B70</f>
        <v>Команда Pro-X</v>
      </c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</row>
    <row r="6" spans="1:105" x14ac:dyDescent="0.25">
      <c r="A6" s="79" t="str">
        <f>Данные!B71</f>
        <v>Этап кубка Урало-Сибирской зоны по трофи-рейдам</v>
      </c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 t="str">
        <f>Данные!B71</f>
        <v>Этап кубка Урало-Сибирской зоны по трофи-рейдам</v>
      </c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 t="str">
        <f>Данные!B71</f>
        <v>Этап кубка Урало-Сибирской зоны по трофи-рейдам</v>
      </c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 t="str">
        <f>Данные!B71</f>
        <v>Этап кубка Урало-Сибирской зоны по трофи-рейдам</v>
      </c>
      <c r="BF6" s="79"/>
      <c r="BG6" s="79"/>
      <c r="BH6" s="79"/>
      <c r="BI6" s="79"/>
      <c r="BJ6" s="79"/>
      <c r="BK6" s="79"/>
      <c r="BL6" s="79"/>
      <c r="BM6" s="79"/>
      <c r="BN6" s="79"/>
      <c r="BO6" s="79"/>
      <c r="BP6" s="79"/>
      <c r="BQ6" s="79"/>
      <c r="BR6" s="79"/>
      <c r="BS6" s="79"/>
      <c r="BT6" s="79"/>
      <c r="BU6" s="79" t="str">
        <f>Данные!B71</f>
        <v>Этап кубка Урало-Сибирской зоны по трофи-рейдам</v>
      </c>
      <c r="BV6" s="79"/>
      <c r="BW6" s="79"/>
      <c r="BX6" s="79"/>
      <c r="BY6" s="79"/>
      <c r="BZ6" s="79"/>
      <c r="CA6" s="79"/>
      <c r="CB6" s="79"/>
      <c r="CC6" s="79"/>
      <c r="CD6" s="79"/>
      <c r="CE6" s="79"/>
      <c r="CF6" s="79"/>
      <c r="CG6" s="79"/>
      <c r="CH6" s="79"/>
      <c r="CI6" s="79"/>
      <c r="CJ6" s="79"/>
      <c r="CK6" s="79" t="str">
        <f>Данные!B71</f>
        <v>Этап кубка Урало-Сибирской зоны по трофи-рейдам</v>
      </c>
      <c r="CL6" s="79"/>
      <c r="CM6" s="79"/>
      <c r="CN6" s="79"/>
      <c r="CO6" s="79"/>
      <c r="CP6" s="79"/>
      <c r="CQ6" s="79"/>
      <c r="CR6" s="79"/>
      <c r="CS6" s="79"/>
      <c r="CT6" s="79"/>
      <c r="CU6" s="79"/>
      <c r="CV6" s="79"/>
      <c r="CW6" s="79"/>
      <c r="CX6" s="79"/>
      <c r="CY6" s="79"/>
      <c r="CZ6" s="79"/>
    </row>
    <row r="7" spans="1:105" x14ac:dyDescent="0.25">
      <c r="A7" s="79" t="str">
        <f>Данные!B72</f>
        <v>г.Челябинск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 t="str">
        <f>Данные!B72</f>
        <v>г.Челябинск</v>
      </c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 t="str">
        <f>Данные!B72</f>
        <v>г.Челябинск</v>
      </c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 t="str">
        <f>Данные!B72</f>
        <v>г.Челябинск</v>
      </c>
      <c r="BF7" s="79"/>
      <c r="BG7" s="79"/>
      <c r="BH7" s="79"/>
      <c r="BI7" s="79"/>
      <c r="BJ7" s="79"/>
      <c r="BK7" s="79"/>
      <c r="BL7" s="79"/>
      <c r="BM7" s="79"/>
      <c r="BN7" s="79"/>
      <c r="BO7" s="79"/>
      <c r="BP7" s="79"/>
      <c r="BQ7" s="79"/>
      <c r="BR7" s="79"/>
      <c r="BS7" s="79"/>
      <c r="BT7" s="79"/>
      <c r="BU7" s="79" t="str">
        <f>Данные!B72</f>
        <v>г.Челябинск</v>
      </c>
      <c r="BV7" s="79"/>
      <c r="BW7" s="79"/>
      <c r="BX7" s="79"/>
      <c r="BY7" s="79"/>
      <c r="BZ7" s="79"/>
      <c r="CA7" s="79"/>
      <c r="CB7" s="79"/>
      <c r="CC7" s="79"/>
      <c r="CD7" s="79"/>
      <c r="CE7" s="79"/>
      <c r="CF7" s="79"/>
      <c r="CG7" s="79"/>
      <c r="CH7" s="79"/>
      <c r="CI7" s="79"/>
      <c r="CJ7" s="79"/>
      <c r="CK7" s="79" t="str">
        <f>Данные!B72</f>
        <v>г.Челябинск</v>
      </c>
      <c r="CL7" s="79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</row>
    <row r="8" spans="1:105" x14ac:dyDescent="0.25">
      <c r="A8" s="80">
        <f>Данные!B73</f>
        <v>43358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>
        <f>Данные!B73</f>
        <v>43358</v>
      </c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>
        <f>Данные!B73</f>
        <v>43358</v>
      </c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>
        <f>Данные!B73</f>
        <v>43358</v>
      </c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>
        <f>Данные!B73</f>
        <v>43358</v>
      </c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>
        <f>Данные!B73</f>
        <v>43358</v>
      </c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</row>
    <row r="9" spans="1:105" s="19" customFormat="1" x14ac:dyDescent="0.25">
      <c r="A9" s="81" t="s">
        <v>110</v>
      </c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 t="s">
        <v>110</v>
      </c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 t="s">
        <v>110</v>
      </c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 t="s">
        <v>110</v>
      </c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 t="s">
        <v>110</v>
      </c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 t="s">
        <v>110</v>
      </c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</row>
    <row r="10" spans="1:105" s="19" customFormat="1" x14ac:dyDescent="0.25">
      <c r="A10" s="97" t="s">
        <v>212</v>
      </c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 t="s">
        <v>212</v>
      </c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 t="s">
        <v>212</v>
      </c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 t="s">
        <v>212</v>
      </c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 t="s">
        <v>212</v>
      </c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 t="s">
        <v>212</v>
      </c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</row>
    <row r="11" spans="1:105" s="29" customFormat="1" ht="15" customHeight="1" x14ac:dyDescent="0.25">
      <c r="A11" s="82" t="s">
        <v>111</v>
      </c>
      <c r="B11" s="82" t="s">
        <v>1</v>
      </c>
      <c r="C11" s="82" t="s">
        <v>3</v>
      </c>
      <c r="D11" s="83" t="s">
        <v>4</v>
      </c>
      <c r="E11" s="43" t="s">
        <v>223</v>
      </c>
      <c r="F11" s="95" t="str">
        <f>VLOOKUP(E11,SU,2,FALSE)</f>
        <v>Кольцевая гонка</v>
      </c>
      <c r="G11" s="95"/>
      <c r="H11" s="96"/>
      <c r="I11" s="64"/>
      <c r="J11" s="98"/>
      <c r="K11" s="98"/>
      <c r="L11" s="98"/>
      <c r="M11" s="65"/>
      <c r="N11" s="98"/>
      <c r="O11" s="98"/>
      <c r="P11" s="98"/>
      <c r="Q11" s="82" t="s">
        <v>111</v>
      </c>
      <c r="R11" s="82" t="s">
        <v>1</v>
      </c>
      <c r="S11" s="82" t="s">
        <v>3</v>
      </c>
      <c r="T11" s="83" t="s">
        <v>4</v>
      </c>
      <c r="U11" s="43" t="s">
        <v>184</v>
      </c>
      <c r="V11" s="95" t="str">
        <f>VLOOKUP(U11,SU,2,FALSE)</f>
        <v>СУ-14</v>
      </c>
      <c r="W11" s="95"/>
      <c r="X11" s="96"/>
      <c r="Y11" s="43" t="s">
        <v>185</v>
      </c>
      <c r="Z11" s="95" t="str">
        <f>VLOOKUP(Y11,SU,2,FALSE)</f>
        <v>СУ-15</v>
      </c>
      <c r="AA11" s="95"/>
      <c r="AB11" s="96"/>
      <c r="AC11" s="43" t="s">
        <v>168</v>
      </c>
      <c r="AD11" s="95" t="str">
        <f>VLOOKUP(AC11,SU,2,FALSE)</f>
        <v>СУ-16</v>
      </c>
      <c r="AE11" s="95"/>
      <c r="AF11" s="96"/>
      <c r="AG11" s="43" t="s">
        <v>169</v>
      </c>
      <c r="AH11" s="95" t="str">
        <f>VLOOKUP(AG11,SU,2,FALSE)</f>
        <v>СУ-17</v>
      </c>
      <c r="AI11" s="95"/>
      <c r="AJ11" s="96"/>
      <c r="AK11" s="43" t="s">
        <v>170</v>
      </c>
      <c r="AL11" s="95" t="str">
        <f>VLOOKUP(AK11,SU,2,FALSE)</f>
        <v>СУ-18</v>
      </c>
      <c r="AM11" s="95"/>
      <c r="AN11" s="96"/>
      <c r="AO11" s="82" t="s">
        <v>111</v>
      </c>
      <c r="AP11" s="82" t="s">
        <v>1</v>
      </c>
      <c r="AQ11" s="82" t="s">
        <v>3</v>
      </c>
      <c r="AR11" s="83" t="s">
        <v>4</v>
      </c>
      <c r="AS11" s="43" t="s">
        <v>186</v>
      </c>
      <c r="AT11" s="95" t="str">
        <f>VLOOKUP(AS11,SU,2,FALSE)</f>
        <v>СУ-19</v>
      </c>
      <c r="AU11" s="95"/>
      <c r="AV11" s="96"/>
      <c r="AW11" s="43" t="s">
        <v>187</v>
      </c>
      <c r="AX11" s="95" t="str">
        <f>VLOOKUP(AW11,SU,2,FALSE)</f>
        <v>СУ-20</v>
      </c>
      <c r="AY11" s="95"/>
      <c r="AZ11" s="96"/>
      <c r="BA11" s="43" t="s">
        <v>188</v>
      </c>
      <c r="BB11" s="95" t="str">
        <f>VLOOKUP(BA11,SU,2,FALSE)</f>
        <v>СУ-21</v>
      </c>
      <c r="BC11" s="95"/>
      <c r="BD11" s="96"/>
      <c r="BE11" s="82" t="s">
        <v>111</v>
      </c>
      <c r="BF11" s="82" t="s">
        <v>1</v>
      </c>
      <c r="BG11" s="82" t="s">
        <v>3</v>
      </c>
      <c r="BH11" s="83" t="s">
        <v>4</v>
      </c>
      <c r="BI11" s="43" t="s">
        <v>189</v>
      </c>
      <c r="BJ11" s="95" t="str">
        <f>VLOOKUP(BI11,SU,2,FALSE)</f>
        <v>СУ-22</v>
      </c>
      <c r="BK11" s="95"/>
      <c r="BL11" s="96"/>
      <c r="BM11" s="43" t="s">
        <v>190</v>
      </c>
      <c r="BN11" s="95" t="str">
        <f>VLOOKUP(BM11,SU,2,FALSE)</f>
        <v>СУ-23</v>
      </c>
      <c r="BO11" s="95"/>
      <c r="BP11" s="96"/>
      <c r="BQ11" s="43" t="s">
        <v>191</v>
      </c>
      <c r="BR11" s="95" t="str">
        <f>VLOOKUP(BQ11,SU,2,FALSE)</f>
        <v>СУ-24</v>
      </c>
      <c r="BS11" s="95"/>
      <c r="BT11" s="96"/>
      <c r="BU11" s="82" t="s">
        <v>111</v>
      </c>
      <c r="BV11" s="82" t="s">
        <v>1</v>
      </c>
      <c r="BW11" s="82" t="s">
        <v>3</v>
      </c>
      <c r="BX11" s="83" t="s">
        <v>4</v>
      </c>
      <c r="BY11" s="43" t="s">
        <v>192</v>
      </c>
      <c r="BZ11" s="95" t="str">
        <f>VLOOKUP(BY11,SU,2,FALSE)</f>
        <v>СУ-25</v>
      </c>
      <c r="CA11" s="95"/>
      <c r="CB11" s="96"/>
      <c r="CC11" s="43" t="s">
        <v>193</v>
      </c>
      <c r="CD11" s="95" t="str">
        <f>VLOOKUP(CC11,SU,2,FALSE)</f>
        <v>СУ-26</v>
      </c>
      <c r="CE11" s="95"/>
      <c r="CF11" s="96"/>
      <c r="CG11" s="43" t="s">
        <v>194</v>
      </c>
      <c r="CH11" s="95" t="str">
        <f>VLOOKUP(CG11,SU,2,FALSE)</f>
        <v>СУ-27</v>
      </c>
      <c r="CI11" s="95"/>
      <c r="CJ11" s="96"/>
      <c r="CK11" s="82" t="s">
        <v>111</v>
      </c>
      <c r="CL11" s="82" t="s">
        <v>1</v>
      </c>
      <c r="CM11" s="82" t="s">
        <v>3</v>
      </c>
      <c r="CN11" s="83" t="s">
        <v>4</v>
      </c>
      <c r="CO11" s="43" t="s">
        <v>195</v>
      </c>
      <c r="CP11" s="95" t="str">
        <f>VLOOKUP(CO11,SU,2,FALSE)</f>
        <v>СУ-28</v>
      </c>
      <c r="CQ11" s="95"/>
      <c r="CR11" s="96"/>
      <c r="CS11" s="43" t="s">
        <v>196</v>
      </c>
      <c r="CT11" s="95" t="str">
        <f>VLOOKUP(CS11,SU,2,FALSE)</f>
        <v>СУ-29</v>
      </c>
      <c r="CU11" s="95"/>
      <c r="CV11" s="96"/>
      <c r="CW11" s="43" t="s">
        <v>197</v>
      </c>
      <c r="CX11" s="95" t="str">
        <f>VLOOKUP(CW11,SU,2,FALSE)</f>
        <v>СУ-30</v>
      </c>
      <c r="CY11" s="95"/>
      <c r="CZ11" s="96"/>
      <c r="DA11" s="77"/>
    </row>
    <row r="12" spans="1:105" s="29" customFormat="1" ht="25.5" x14ac:dyDescent="0.25">
      <c r="A12" s="82"/>
      <c r="B12" s="82"/>
      <c r="C12" s="82"/>
      <c r="D12" s="83"/>
      <c r="E12" s="62" t="s">
        <v>115</v>
      </c>
      <c r="F12" s="61" t="s">
        <v>152</v>
      </c>
      <c r="G12" s="62" t="s">
        <v>113</v>
      </c>
      <c r="H12" s="62" t="s">
        <v>114</v>
      </c>
      <c r="I12" s="66"/>
      <c r="J12" s="67"/>
      <c r="K12" s="68"/>
      <c r="L12" s="68"/>
      <c r="M12" s="68"/>
      <c r="N12" s="67"/>
      <c r="O12" s="68"/>
      <c r="P12" s="68"/>
      <c r="Q12" s="82"/>
      <c r="R12" s="82"/>
      <c r="S12" s="82"/>
      <c r="T12" s="83"/>
      <c r="U12" s="77" t="s">
        <v>112</v>
      </c>
      <c r="V12" s="76" t="s">
        <v>152</v>
      </c>
      <c r="W12" s="77" t="s">
        <v>113</v>
      </c>
      <c r="X12" s="77" t="s">
        <v>114</v>
      </c>
      <c r="Y12" s="77" t="s">
        <v>112</v>
      </c>
      <c r="Z12" s="76" t="s">
        <v>152</v>
      </c>
      <c r="AA12" s="77" t="s">
        <v>113</v>
      </c>
      <c r="AB12" s="77" t="s">
        <v>114</v>
      </c>
      <c r="AC12" s="62" t="s">
        <v>112</v>
      </c>
      <c r="AD12" s="61" t="s">
        <v>152</v>
      </c>
      <c r="AE12" s="62" t="s">
        <v>113</v>
      </c>
      <c r="AF12" s="62" t="s">
        <v>114</v>
      </c>
      <c r="AG12" s="62" t="s">
        <v>112</v>
      </c>
      <c r="AH12" s="61" t="s">
        <v>152</v>
      </c>
      <c r="AI12" s="62" t="s">
        <v>113</v>
      </c>
      <c r="AJ12" s="62" t="s">
        <v>114</v>
      </c>
      <c r="AK12" s="62" t="s">
        <v>112</v>
      </c>
      <c r="AL12" s="61" t="s">
        <v>152</v>
      </c>
      <c r="AM12" s="62" t="s">
        <v>113</v>
      </c>
      <c r="AN12" s="62" t="s">
        <v>114</v>
      </c>
      <c r="AO12" s="82"/>
      <c r="AP12" s="82"/>
      <c r="AQ12" s="82"/>
      <c r="AR12" s="83"/>
      <c r="AS12" s="62" t="s">
        <v>112</v>
      </c>
      <c r="AT12" s="61" t="s">
        <v>152</v>
      </c>
      <c r="AU12" s="62" t="s">
        <v>113</v>
      </c>
      <c r="AV12" s="62" t="s">
        <v>114</v>
      </c>
      <c r="AW12" s="62" t="s">
        <v>112</v>
      </c>
      <c r="AX12" s="61" t="s">
        <v>152</v>
      </c>
      <c r="AY12" s="62" t="s">
        <v>113</v>
      </c>
      <c r="AZ12" s="62" t="s">
        <v>114</v>
      </c>
      <c r="BA12" s="62" t="s">
        <v>112</v>
      </c>
      <c r="BB12" s="61" t="s">
        <v>152</v>
      </c>
      <c r="BC12" s="62" t="s">
        <v>113</v>
      </c>
      <c r="BD12" s="62" t="s">
        <v>114</v>
      </c>
      <c r="BE12" s="82"/>
      <c r="BF12" s="82"/>
      <c r="BG12" s="82"/>
      <c r="BH12" s="83"/>
      <c r="BI12" s="62" t="s">
        <v>112</v>
      </c>
      <c r="BJ12" s="61" t="s">
        <v>152</v>
      </c>
      <c r="BK12" s="62" t="s">
        <v>113</v>
      </c>
      <c r="BL12" s="62" t="s">
        <v>114</v>
      </c>
      <c r="BM12" s="62" t="s">
        <v>112</v>
      </c>
      <c r="BN12" s="61" t="s">
        <v>152</v>
      </c>
      <c r="BO12" s="62" t="s">
        <v>113</v>
      </c>
      <c r="BP12" s="62" t="s">
        <v>114</v>
      </c>
      <c r="BQ12" s="62" t="s">
        <v>112</v>
      </c>
      <c r="BR12" s="61" t="s">
        <v>152</v>
      </c>
      <c r="BS12" s="62" t="s">
        <v>113</v>
      </c>
      <c r="BT12" s="62" t="s">
        <v>114</v>
      </c>
      <c r="BU12" s="82"/>
      <c r="BV12" s="82"/>
      <c r="BW12" s="82"/>
      <c r="BX12" s="83"/>
      <c r="BY12" s="62" t="s">
        <v>112</v>
      </c>
      <c r="BZ12" s="61" t="s">
        <v>152</v>
      </c>
      <c r="CA12" s="62" t="s">
        <v>113</v>
      </c>
      <c r="CB12" s="62" t="s">
        <v>114</v>
      </c>
      <c r="CC12" s="62" t="s">
        <v>112</v>
      </c>
      <c r="CD12" s="61" t="s">
        <v>152</v>
      </c>
      <c r="CE12" s="62" t="s">
        <v>113</v>
      </c>
      <c r="CF12" s="62" t="s">
        <v>114</v>
      </c>
      <c r="CG12" s="62" t="s">
        <v>112</v>
      </c>
      <c r="CH12" s="61" t="s">
        <v>152</v>
      </c>
      <c r="CI12" s="62" t="s">
        <v>113</v>
      </c>
      <c r="CJ12" s="62" t="s">
        <v>114</v>
      </c>
      <c r="CK12" s="82"/>
      <c r="CL12" s="82"/>
      <c r="CM12" s="82"/>
      <c r="CN12" s="83"/>
      <c r="CO12" s="62" t="s">
        <v>112</v>
      </c>
      <c r="CP12" s="61" t="s">
        <v>152</v>
      </c>
      <c r="CQ12" s="62" t="s">
        <v>113</v>
      </c>
      <c r="CR12" s="62" t="s">
        <v>114</v>
      </c>
      <c r="CS12" s="62" t="s">
        <v>112</v>
      </c>
      <c r="CT12" s="61" t="s">
        <v>152</v>
      </c>
      <c r="CU12" s="62" t="s">
        <v>113</v>
      </c>
      <c r="CV12" s="62" t="s">
        <v>114</v>
      </c>
      <c r="CW12" s="62" t="s">
        <v>112</v>
      </c>
      <c r="CX12" s="61" t="s">
        <v>152</v>
      </c>
      <c r="CY12" s="62" t="s">
        <v>113</v>
      </c>
      <c r="CZ12" s="62" t="s">
        <v>114</v>
      </c>
      <c r="DA12" s="77" t="s">
        <v>360</v>
      </c>
    </row>
    <row r="13" spans="1:105" s="6" customFormat="1" ht="60" x14ac:dyDescent="0.25">
      <c r="A13" s="25">
        <v>100</v>
      </c>
      <c r="B13" s="11" t="str">
        <f>VLOOKUP($A13,TAB,2,FALSE)</f>
        <v>Галузин Вячеслав Владимирович
Плесовских Сергей Владимирович</v>
      </c>
      <c r="C13" s="11" t="str">
        <f>VLOOKUP($A13,TAB,4,FALSE)</f>
        <v>Златоуст
Златоуст</v>
      </c>
      <c r="D13" s="11" t="str">
        <f>VLOOKUP($A13,TAB,5,FALSE)</f>
        <v>Прото</v>
      </c>
      <c r="E13" s="75">
        <v>6</v>
      </c>
      <c r="F13" s="26"/>
      <c r="G13" s="26">
        <f>VLOOKUP($A13,TAB,70,FALSE)</f>
        <v>81</v>
      </c>
      <c r="H13" s="26">
        <f>VLOOKUP($A13,TAB,101,FALSE)</f>
        <v>81</v>
      </c>
      <c r="I13" s="69"/>
      <c r="J13" s="70"/>
      <c r="K13" s="70"/>
      <c r="L13" s="70"/>
      <c r="M13" s="71"/>
      <c r="N13" s="70"/>
      <c r="O13" s="70"/>
      <c r="P13" s="70"/>
      <c r="Q13" s="25">
        <v>100</v>
      </c>
      <c r="R13" s="11" t="str">
        <f t="shared" ref="R13:R20" si="0">VLOOKUP($Q13,TAB,2,FALSE)</f>
        <v>Галузин Вячеслав Владимирович
Плесовских Сергей Владимирович</v>
      </c>
      <c r="S13" s="11" t="str">
        <f t="shared" ref="S13:S20" si="1">VLOOKUP($Q13,TAB,4,FALSE)</f>
        <v>Златоуст
Златоуст</v>
      </c>
      <c r="T13" s="11" t="str">
        <f t="shared" ref="T13:T20" si="2">VLOOKUP($Q13,TAB,5,FALSE)</f>
        <v>Прото</v>
      </c>
      <c r="U13" s="15">
        <f>VLOOKUP($Q13,TAB,22,FALSE)</f>
        <v>0</v>
      </c>
      <c r="V13" s="26">
        <f>VLOOKUP($Q13,TAB,52,FALSE)</f>
        <v>0</v>
      </c>
      <c r="W13" s="26">
        <f>VLOOKUP($Q13,TAB,84,FALSE)</f>
        <v>0</v>
      </c>
      <c r="X13" s="26">
        <f>VLOOKUP($Q13,TAB,115,FALSE)</f>
        <v>0</v>
      </c>
      <c r="Y13" s="15">
        <f>VLOOKUP($Q13,TAB,23,FALSE)</f>
        <v>3.530092592592592E-3</v>
      </c>
      <c r="Z13" s="26">
        <f>VLOOKUP($Q13,TAB,53,FALSE)</f>
        <v>0</v>
      </c>
      <c r="AA13" s="26">
        <f>VLOOKUP($Q13,TAB,85,FALSE)</f>
        <v>95</v>
      </c>
      <c r="AB13" s="26">
        <f>VLOOKUP($Q13,TAB,116,FALSE)</f>
        <v>95</v>
      </c>
      <c r="AC13" s="15">
        <f t="shared" ref="AC13:AC20" si="3">VLOOKUP($Q13,TAB,24,FALSE)</f>
        <v>2.8124999999999995E-3</v>
      </c>
      <c r="AD13" s="26">
        <f t="shared" ref="AD13:AD20" si="4">VLOOKUP($Q13,TAB,54,FALSE)</f>
        <v>0</v>
      </c>
      <c r="AE13" s="26">
        <f t="shared" ref="AE13:AE20" si="5">VLOOKUP($Q13,TAB,86,FALSE)</f>
        <v>100</v>
      </c>
      <c r="AF13" s="26">
        <f t="shared" ref="AF13:AF20" si="6">VLOOKUP($Q13,TAB,117,FALSE)</f>
        <v>100</v>
      </c>
      <c r="AG13" s="15">
        <f t="shared" ref="AG13:AG20" si="7">VLOOKUP($Q13,TAB,25,FALSE)</f>
        <v>0</v>
      </c>
      <c r="AH13" s="26">
        <f t="shared" ref="AH13:AH20" si="8">VLOOKUP($Q13,TAB,55,FALSE)</f>
        <v>0</v>
      </c>
      <c r="AI13" s="26">
        <f t="shared" ref="AI13:AI20" si="9">VLOOKUP($Q13,TAB,87,FALSE)</f>
        <v>0</v>
      </c>
      <c r="AJ13" s="26">
        <f t="shared" ref="AJ13:AJ20" si="10">VLOOKUP($Q13,TAB,118,FALSE)</f>
        <v>0</v>
      </c>
      <c r="AK13" s="15">
        <f t="shared" ref="AK13:AK20" si="11">VLOOKUP($Q13,TAB,26,FALSE)</f>
        <v>0</v>
      </c>
      <c r="AL13" s="26">
        <f t="shared" ref="AL13:AL20" si="12">VLOOKUP($Q13,TAB,56,FALSE)</f>
        <v>0</v>
      </c>
      <c r="AM13" s="26">
        <f t="shared" ref="AM13:AM20" si="13">VLOOKUP($Q13,TAB,88,FALSE)</f>
        <v>0</v>
      </c>
      <c r="AN13" s="26">
        <f t="shared" ref="AN13:AN20" si="14">VLOOKUP($Q13,TAB,119,FALSE)</f>
        <v>0</v>
      </c>
      <c r="AO13" s="25">
        <v>100</v>
      </c>
      <c r="AP13" s="11" t="str">
        <f t="shared" ref="AP13:AP20" si="15">VLOOKUP($AO13,TAB,2,FALSE)</f>
        <v>Галузин Вячеслав Владимирович
Плесовских Сергей Владимирович</v>
      </c>
      <c r="AQ13" s="11" t="str">
        <f t="shared" ref="AQ13:AQ20" si="16">VLOOKUP($AO13,TAB,4,FALSE)</f>
        <v>Златоуст
Златоуст</v>
      </c>
      <c r="AR13" s="11" t="str">
        <f t="shared" ref="AR13:AR20" si="17">VLOOKUP($AO13,TAB,3,FALSE)</f>
        <v>186713
186722</v>
      </c>
      <c r="AS13" s="15">
        <f t="shared" ref="AS13:AS20" si="18">VLOOKUP($AO13,TAB,27,FALSE)</f>
        <v>0</v>
      </c>
      <c r="AT13" s="26">
        <f t="shared" ref="AT13:AT20" si="19">VLOOKUP($AO13,TAB,57,FALSE)</f>
        <v>0</v>
      </c>
      <c r="AU13" s="26">
        <f t="shared" ref="AU13:AU20" si="20">VLOOKUP($AO13,TAB,89,FALSE)</f>
        <v>0</v>
      </c>
      <c r="AV13" s="26">
        <f t="shared" ref="AV13:AV20" si="21">VLOOKUP($AO13,TAB,120,FALSE)</f>
        <v>0</v>
      </c>
      <c r="AW13" s="15">
        <f t="shared" ref="AW13:AW20" si="22">VLOOKUP($AO13,TAB,28,FALSE)</f>
        <v>0</v>
      </c>
      <c r="AX13" s="26">
        <f t="shared" ref="AX13:AX20" si="23">VLOOKUP($AO13,TAB,58,FALSE)</f>
        <v>0</v>
      </c>
      <c r="AY13" s="26">
        <f t="shared" ref="AY13:AY20" si="24">VLOOKUP($AO13,TAB,90,FALSE)</f>
        <v>0</v>
      </c>
      <c r="AZ13" s="26">
        <f t="shared" ref="AZ13:AZ20" si="25">VLOOKUP($AO13,TAB,121,FALSE)</f>
        <v>0</v>
      </c>
      <c r="BA13" s="15" t="str">
        <f t="shared" ref="BA13:BA20" si="26">VLOOKUP($AO13,TAB,29,FALSE)</f>
        <v>DNF</v>
      </c>
      <c r="BB13" s="26">
        <f t="shared" ref="BB13:BB20" si="27">VLOOKUP($AO13,TAB,59,FALSE)</f>
        <v>0</v>
      </c>
      <c r="BC13" s="26">
        <f>VLOOKUP($AO13,TAB,91,FALSE)</f>
        <v>20</v>
      </c>
      <c r="BD13" s="26">
        <f t="shared" ref="BD13:BD20" si="28">VLOOKUP($AO13,TAB,122,FALSE)</f>
        <v>20</v>
      </c>
      <c r="BE13" s="25">
        <v>100</v>
      </c>
      <c r="BF13" s="11" t="str">
        <f t="shared" ref="BF13:BF20" si="29">VLOOKUP($BE13,TAB,2,FALSE)</f>
        <v>Галузин Вячеслав Владимирович
Плесовских Сергей Владимирович</v>
      </c>
      <c r="BG13" s="11" t="str">
        <f t="shared" ref="BG13:BG20" si="30">VLOOKUP($BE13,TAB,4,FALSE)</f>
        <v>Златоуст
Златоуст</v>
      </c>
      <c r="BH13" s="11" t="str">
        <f t="shared" ref="BH13:BH20" si="31">VLOOKUP($BE13,TAB,5,FALSE)</f>
        <v>Прото</v>
      </c>
      <c r="BI13" s="15">
        <f t="shared" ref="BI13:BI20" si="32">VLOOKUP($BE13,TAB,30,FALSE)</f>
        <v>0</v>
      </c>
      <c r="BJ13" s="26">
        <f t="shared" ref="BJ13:BJ20" si="33">VLOOKUP($BE13,TAB,60,FALSE)</f>
        <v>0</v>
      </c>
      <c r="BK13" s="26">
        <f t="shared" ref="BK13:BK20" si="34">VLOOKUP($BE13,TAB,92,FALSE)</f>
        <v>0</v>
      </c>
      <c r="BL13" s="26">
        <f t="shared" ref="BL13:BL20" si="35">VLOOKUP($BE13,TAB,123,FALSE)</f>
        <v>0</v>
      </c>
      <c r="BM13" s="15">
        <f t="shared" ref="BM13:BM20" si="36">VLOOKUP($BE13,TAB,31,FALSE)</f>
        <v>0</v>
      </c>
      <c r="BN13" s="26">
        <f t="shared" ref="BN13:BN20" si="37">VLOOKUP($BE13,TAB,61,FALSE)</f>
        <v>0</v>
      </c>
      <c r="BO13" s="26">
        <f t="shared" ref="BO13:BO20" si="38">VLOOKUP($BE13,TAB,93,FALSE)</f>
        <v>0</v>
      </c>
      <c r="BP13" s="26">
        <f t="shared" ref="BP13:BP20" si="39">VLOOKUP($BE13,TAB,124,FALSE)</f>
        <v>0</v>
      </c>
      <c r="BQ13" s="15">
        <f t="shared" ref="BQ13:BQ20" si="40">VLOOKUP($BE13,TAB,32,FALSE)</f>
        <v>7.3611111111111108E-3</v>
      </c>
      <c r="BR13" s="26">
        <f t="shared" ref="BR13:BR20" si="41">VLOOKUP($BE13,TAB,62,FALSE)</f>
        <v>0</v>
      </c>
      <c r="BS13" s="26">
        <f t="shared" ref="BS13:BS20" si="42">VLOOKUP($BE13,TAB,94,FALSE)</f>
        <v>81</v>
      </c>
      <c r="BT13" s="26">
        <f t="shared" ref="BT13:BT20" si="43">VLOOKUP($BE13,TAB,125,FALSE)</f>
        <v>81</v>
      </c>
      <c r="BU13" s="25">
        <v>100</v>
      </c>
      <c r="BV13" s="11" t="str">
        <f t="shared" ref="BV13:BV20" si="44">VLOOKUP($BU13,TAB,2,FALSE)</f>
        <v>Галузин Вячеслав Владимирович
Плесовских Сергей Владимирович</v>
      </c>
      <c r="BW13" s="11" t="str">
        <f t="shared" ref="BW13:BW20" si="45">VLOOKUP($BU13,TAB,4,FALSE)</f>
        <v>Златоуст
Златоуст</v>
      </c>
      <c r="BX13" s="11" t="str">
        <f t="shared" ref="BX13:BX20" si="46">VLOOKUP($BU13,TAB,5,FALSE)</f>
        <v>Прото</v>
      </c>
      <c r="BY13" s="15">
        <f t="shared" ref="BY13:BY20" si="47">VLOOKUP($BU13,TAB,33,FALSE)</f>
        <v>0</v>
      </c>
      <c r="BZ13" s="26">
        <f t="shared" ref="BZ13:BZ20" si="48">VLOOKUP($BU13,TAB,63,FALSE)</f>
        <v>0</v>
      </c>
      <c r="CA13" s="26">
        <f t="shared" ref="CA13:CA20" si="49">VLOOKUP($BU13,TAB,95,FALSE)</f>
        <v>0</v>
      </c>
      <c r="CB13" s="26">
        <f t="shared" ref="CB13:CB20" si="50">VLOOKUP($BU13,TAB,126,FALSE)</f>
        <v>0</v>
      </c>
      <c r="CC13" s="15">
        <f t="shared" ref="CC13:CC20" si="51">VLOOKUP($BU13,TAB,34,FALSE)</f>
        <v>0</v>
      </c>
      <c r="CD13" s="26">
        <f t="shared" ref="CD13:CD20" si="52">VLOOKUP($BU13,TAB,64,FALSE)</f>
        <v>0</v>
      </c>
      <c r="CE13" s="26">
        <f t="shared" ref="CE13:CE20" si="53">VLOOKUP($BU13,TAB,96,FALSE)</f>
        <v>0</v>
      </c>
      <c r="CF13" s="26">
        <f t="shared" ref="CF13:CF20" si="54">VLOOKUP($BU13,TAB,127,FALSE)</f>
        <v>0</v>
      </c>
      <c r="CG13" s="15">
        <f t="shared" ref="CG13:CG20" si="55">VLOOKUP($BU13,TAB,35,FALSE)</f>
        <v>0</v>
      </c>
      <c r="CH13" s="26">
        <f t="shared" ref="CH13:CH20" si="56">VLOOKUP($BU13,TAB,65,FALSE)</f>
        <v>0</v>
      </c>
      <c r="CI13" s="26">
        <f t="shared" ref="CI13:CI20" si="57">VLOOKUP($BU13,TAB,97,FALSE)</f>
        <v>0</v>
      </c>
      <c r="CJ13" s="26">
        <f t="shared" ref="CJ13:CJ20" si="58">VLOOKUP($BU13,TAB,128,FALSE)</f>
        <v>0</v>
      </c>
      <c r="CK13" s="25">
        <v>100</v>
      </c>
      <c r="CL13" s="11" t="str">
        <f t="shared" ref="CL13:CL20" si="59">VLOOKUP($CK13,TAB,2,FALSE)</f>
        <v>Галузин Вячеслав Владимирович
Плесовских Сергей Владимирович</v>
      </c>
      <c r="CM13" s="11" t="str">
        <f t="shared" ref="CM13:CM20" si="60">VLOOKUP($CK13,TAB,4,FALSE)</f>
        <v>Златоуст
Златоуст</v>
      </c>
      <c r="CN13" s="11" t="str">
        <f t="shared" ref="CN13:CN20" si="61">VLOOKUP($CK13,TAB,5,FALSE)</f>
        <v>Прото</v>
      </c>
      <c r="CO13" s="15">
        <f t="shared" ref="CO13:CO20" si="62">VLOOKUP($CK13,TAB,36,FALSE)</f>
        <v>0</v>
      </c>
      <c r="CP13" s="26">
        <f t="shared" ref="CP13:CP20" si="63">VLOOKUP($CK13,TAB,66,FALSE)</f>
        <v>0</v>
      </c>
      <c r="CQ13" s="26">
        <f t="shared" ref="CQ13:CQ20" si="64">VLOOKUP($CK13,TAB,98,FALSE)</f>
        <v>0</v>
      </c>
      <c r="CR13" s="26">
        <f t="shared" ref="CR13:CR20" si="65">VLOOKUP($CK13,TAB,129,FALSE)</f>
        <v>0</v>
      </c>
      <c r="CS13" s="15">
        <f t="shared" ref="CS13:CS20" si="66">VLOOKUP($CK13,TAB,37,FALSE)</f>
        <v>9.8842592592592576E-3</v>
      </c>
      <c r="CT13" s="26">
        <f t="shared" ref="CT13:CT20" si="67">VLOOKUP($CK13,TAB,67,FALSE)</f>
        <v>0</v>
      </c>
      <c r="CU13" s="26">
        <f t="shared" ref="CU13:CU20" si="68">VLOOKUP($CK13,TAB,99,FALSE)</f>
        <v>90</v>
      </c>
      <c r="CV13" s="26">
        <f t="shared" ref="CV13:CV20" si="69">VLOOKUP($CK13,TAB,130,FALSE)</f>
        <v>90</v>
      </c>
      <c r="CW13" s="15">
        <f t="shared" ref="CW13:CW20" si="70">VLOOKUP($CK13,TAB,38,FALSE)</f>
        <v>0</v>
      </c>
      <c r="CX13" s="26">
        <f t="shared" ref="CX13:CX20" si="71">VLOOKUP($CK13,TAB,68,FALSE)</f>
        <v>0</v>
      </c>
      <c r="CY13" s="26">
        <f t="shared" ref="CY13:CY20" si="72">VLOOKUP($CK13,TAB,100,FALSE)</f>
        <v>0</v>
      </c>
      <c r="CZ13" s="26">
        <f t="shared" ref="CZ13:CZ20" si="73">VLOOKUP($CK13,TAB,131,FALSE)</f>
        <v>0</v>
      </c>
      <c r="DA13" s="11">
        <f>CV13+CR13+CJ13+CF13+CB13+BT13+BP13+BL13+BD13+AZ13+AV13+AN13+AJ13+AF13+AB13+X13+H13</f>
        <v>467</v>
      </c>
    </row>
    <row r="14" spans="1:105" s="6" customFormat="1" ht="60" x14ac:dyDescent="0.25">
      <c r="A14" s="25">
        <v>101</v>
      </c>
      <c r="B14" s="11" t="str">
        <f>VLOOKUP($A14,TAB,2,FALSE)</f>
        <v>Малиновский Артем Александрович
Малиновский Антон Александрович</v>
      </c>
      <c r="C14" s="11" t="str">
        <f>VLOOKUP($A14,TAB,4,FALSE)</f>
        <v>Н. Тагил
Н. Тагил</v>
      </c>
      <c r="D14" s="11" t="str">
        <f>VLOOKUP($A14,TAB,5,FALSE)</f>
        <v>Прото</v>
      </c>
      <c r="E14" s="75">
        <v>7</v>
      </c>
      <c r="F14" s="26"/>
      <c r="G14" s="26">
        <f>VLOOKUP($A14,TAB,70,FALSE)</f>
        <v>78</v>
      </c>
      <c r="H14" s="26">
        <f>VLOOKUP($A14,TAB,101,FALSE)</f>
        <v>78</v>
      </c>
      <c r="I14" s="69"/>
      <c r="J14" s="70"/>
      <c r="K14" s="70"/>
      <c r="L14" s="70"/>
      <c r="M14" s="71"/>
      <c r="N14" s="70"/>
      <c r="O14" s="70"/>
      <c r="P14" s="70"/>
      <c r="Q14" s="25">
        <v>101</v>
      </c>
      <c r="R14" s="11" t="str">
        <f t="shared" si="0"/>
        <v>Малиновский Артем Александрович
Малиновский Антон Александрович</v>
      </c>
      <c r="S14" s="11" t="str">
        <f t="shared" si="1"/>
        <v>Н. Тагил
Н. Тагил</v>
      </c>
      <c r="T14" s="11" t="str">
        <f t="shared" si="2"/>
        <v>Прото</v>
      </c>
      <c r="U14" s="15">
        <f>VLOOKUP($Q14,TAB,22,FALSE)</f>
        <v>2.2902777777777778E-3</v>
      </c>
      <c r="V14" s="26">
        <f>VLOOKUP($Q14,TAB,52,FALSE)</f>
        <v>0</v>
      </c>
      <c r="W14" s="26">
        <f>VLOOKUP($Q14,TAB,84,FALSE)</f>
        <v>95</v>
      </c>
      <c r="X14" s="26">
        <f>VLOOKUP($Q14,TAB,115,FALSE)</f>
        <v>95</v>
      </c>
      <c r="Y14" s="15">
        <f>VLOOKUP($Q14,TAB,23,FALSE)</f>
        <v>4.6990740740740743E-3</v>
      </c>
      <c r="Z14" s="26">
        <f>VLOOKUP($Q14,TAB,53,FALSE)</f>
        <v>0</v>
      </c>
      <c r="AA14" s="26">
        <f>VLOOKUP($Q14,TAB,85,FALSE)</f>
        <v>90</v>
      </c>
      <c r="AB14" s="26">
        <f>VLOOKUP($Q14,TAB,116,FALSE)</f>
        <v>90</v>
      </c>
      <c r="AC14" s="15">
        <f t="shared" si="3"/>
        <v>3.6342592592592594E-3</v>
      </c>
      <c r="AD14" s="26">
        <f t="shared" si="4"/>
        <v>0</v>
      </c>
      <c r="AE14" s="26">
        <f t="shared" si="5"/>
        <v>95</v>
      </c>
      <c r="AF14" s="26">
        <f t="shared" si="6"/>
        <v>95</v>
      </c>
      <c r="AG14" s="15">
        <f t="shared" si="7"/>
        <v>3.7268518518518514E-3</v>
      </c>
      <c r="AH14" s="26">
        <f t="shared" si="8"/>
        <v>0</v>
      </c>
      <c r="AI14" s="26">
        <f t="shared" si="9"/>
        <v>84</v>
      </c>
      <c r="AJ14" s="26">
        <f t="shared" si="10"/>
        <v>84</v>
      </c>
      <c r="AK14" s="15">
        <f t="shared" si="11"/>
        <v>3.6556712962962958E-3</v>
      </c>
      <c r="AL14" s="26">
        <f t="shared" si="12"/>
        <v>0</v>
      </c>
      <c r="AM14" s="26">
        <f t="shared" si="13"/>
        <v>95</v>
      </c>
      <c r="AN14" s="26">
        <f t="shared" si="14"/>
        <v>95</v>
      </c>
      <c r="AO14" s="25">
        <v>101</v>
      </c>
      <c r="AP14" s="11" t="str">
        <f t="shared" si="15"/>
        <v>Малиновский Артем Александрович
Малиновский Антон Александрович</v>
      </c>
      <c r="AQ14" s="11" t="str">
        <f t="shared" si="16"/>
        <v>Н. Тагил
Н. Тагил</v>
      </c>
      <c r="AR14" s="11" t="str">
        <f t="shared" si="17"/>
        <v>183370
183364</v>
      </c>
      <c r="AS14" s="15">
        <f t="shared" si="18"/>
        <v>2.2453703703703702E-3</v>
      </c>
      <c r="AT14" s="26">
        <f t="shared" si="19"/>
        <v>0</v>
      </c>
      <c r="AU14" s="26">
        <f t="shared" si="20"/>
        <v>100</v>
      </c>
      <c r="AV14" s="26">
        <f t="shared" si="21"/>
        <v>100</v>
      </c>
      <c r="AW14" s="15">
        <f t="shared" si="22"/>
        <v>4.3981481481481484E-3</v>
      </c>
      <c r="AX14" s="26">
        <f t="shared" si="23"/>
        <v>0</v>
      </c>
      <c r="AY14" s="26">
        <f t="shared" si="24"/>
        <v>90</v>
      </c>
      <c r="AZ14" s="26">
        <f t="shared" si="25"/>
        <v>90</v>
      </c>
      <c r="BA14" s="15">
        <f t="shared" si="26"/>
        <v>0</v>
      </c>
      <c r="BB14" s="26">
        <f t="shared" si="27"/>
        <v>0</v>
      </c>
      <c r="BC14" s="26">
        <f>VLOOKUP($AO14,TAB,91,FALSE)</f>
        <v>0</v>
      </c>
      <c r="BD14" s="26">
        <f t="shared" si="28"/>
        <v>0</v>
      </c>
      <c r="BE14" s="25">
        <v>101</v>
      </c>
      <c r="BF14" s="11" t="str">
        <f t="shared" si="29"/>
        <v>Малиновский Артем Александрович
Малиновский Антон Александрович</v>
      </c>
      <c r="BG14" s="11" t="str">
        <f t="shared" si="30"/>
        <v>Н. Тагил
Н. Тагил</v>
      </c>
      <c r="BH14" s="11" t="str">
        <f t="shared" si="31"/>
        <v>Прото</v>
      </c>
      <c r="BI14" s="15">
        <f t="shared" si="32"/>
        <v>4.3540509259259261E-3</v>
      </c>
      <c r="BJ14" s="26">
        <f t="shared" si="33"/>
        <v>0</v>
      </c>
      <c r="BK14" s="26">
        <f t="shared" si="34"/>
        <v>100</v>
      </c>
      <c r="BL14" s="26">
        <f t="shared" si="35"/>
        <v>100</v>
      </c>
      <c r="BM14" s="15">
        <f t="shared" si="36"/>
        <v>1.9697916666666666E-3</v>
      </c>
      <c r="BN14" s="26">
        <f t="shared" si="37"/>
        <v>0</v>
      </c>
      <c r="BO14" s="26">
        <f t="shared" si="38"/>
        <v>100</v>
      </c>
      <c r="BP14" s="26">
        <f t="shared" si="39"/>
        <v>100</v>
      </c>
      <c r="BQ14" s="15" t="str">
        <f t="shared" si="40"/>
        <v>DNF</v>
      </c>
      <c r="BR14" s="26">
        <f t="shared" si="41"/>
        <v>0</v>
      </c>
      <c r="BS14" s="26">
        <f t="shared" si="42"/>
        <v>20</v>
      </c>
      <c r="BT14" s="26">
        <f t="shared" si="43"/>
        <v>20</v>
      </c>
      <c r="BU14" s="25">
        <v>101</v>
      </c>
      <c r="BV14" s="11" t="str">
        <f t="shared" si="44"/>
        <v>Малиновский Артем Александрович
Малиновский Антон Александрович</v>
      </c>
      <c r="BW14" s="11" t="str">
        <f t="shared" si="45"/>
        <v>Н. Тагил
Н. Тагил</v>
      </c>
      <c r="BX14" s="11" t="str">
        <f t="shared" si="46"/>
        <v>Прото</v>
      </c>
      <c r="BY14" s="15">
        <f t="shared" si="47"/>
        <v>8.7847222222222233E-3</v>
      </c>
      <c r="BZ14" s="26">
        <f t="shared" si="48"/>
        <v>10</v>
      </c>
      <c r="CA14" s="26">
        <f t="shared" si="49"/>
        <v>100</v>
      </c>
      <c r="CB14" s="26">
        <f t="shared" si="50"/>
        <v>90</v>
      </c>
      <c r="CC14" s="15">
        <f t="shared" si="51"/>
        <v>7.3726851851851861E-3</v>
      </c>
      <c r="CD14" s="26">
        <f t="shared" si="52"/>
        <v>0</v>
      </c>
      <c r="CE14" s="26">
        <f t="shared" si="53"/>
        <v>87</v>
      </c>
      <c r="CF14" s="26">
        <f t="shared" si="54"/>
        <v>87</v>
      </c>
      <c r="CG14" s="15">
        <f t="shared" si="55"/>
        <v>7.789351851851852E-3</v>
      </c>
      <c r="CH14" s="26">
        <f t="shared" si="56"/>
        <v>0</v>
      </c>
      <c r="CI14" s="26">
        <f t="shared" si="57"/>
        <v>90</v>
      </c>
      <c r="CJ14" s="26">
        <f t="shared" si="58"/>
        <v>90</v>
      </c>
      <c r="CK14" s="25">
        <v>101</v>
      </c>
      <c r="CL14" s="11" t="str">
        <f t="shared" si="59"/>
        <v>Малиновский Артем Александрович
Малиновский Антон Александрович</v>
      </c>
      <c r="CM14" s="11" t="str">
        <f t="shared" si="60"/>
        <v>Н. Тагил
Н. Тагил</v>
      </c>
      <c r="CN14" s="11" t="str">
        <f t="shared" si="61"/>
        <v>Прото</v>
      </c>
      <c r="CO14" s="15">
        <f t="shared" si="62"/>
        <v>6.2037037037037043E-3</v>
      </c>
      <c r="CP14" s="26">
        <f t="shared" si="63"/>
        <v>0</v>
      </c>
      <c r="CQ14" s="26">
        <f t="shared" si="64"/>
        <v>95</v>
      </c>
      <c r="CR14" s="26">
        <f t="shared" si="65"/>
        <v>95</v>
      </c>
      <c r="CS14" s="15">
        <f t="shared" si="66"/>
        <v>0</v>
      </c>
      <c r="CT14" s="26">
        <f t="shared" si="67"/>
        <v>0</v>
      </c>
      <c r="CU14" s="26">
        <f t="shared" si="68"/>
        <v>0</v>
      </c>
      <c r="CV14" s="26">
        <f t="shared" si="69"/>
        <v>0</v>
      </c>
      <c r="CW14" s="15">
        <f t="shared" si="70"/>
        <v>0</v>
      </c>
      <c r="CX14" s="26">
        <f t="shared" si="71"/>
        <v>0</v>
      </c>
      <c r="CY14" s="26">
        <f t="shared" si="72"/>
        <v>0</v>
      </c>
      <c r="CZ14" s="26">
        <f t="shared" si="73"/>
        <v>0</v>
      </c>
      <c r="DA14" s="11">
        <f t="shared" ref="DA14:DA20" si="74">CV14+CR14+CJ14+CF14+CB14+BT14+BP14+BL14+BD14+AZ14+AV14+AN14+AJ14+AF14+AB14+X14+H14</f>
        <v>1309</v>
      </c>
    </row>
    <row r="15" spans="1:105" s="6" customFormat="1" ht="60" x14ac:dyDescent="0.25">
      <c r="A15" s="25">
        <v>102</v>
      </c>
      <c r="B15" s="11" t="str">
        <f>VLOOKUP($A15,TAB,2,FALSE)</f>
        <v>Иванов Артем Альбертович
Иванов Роман Альбертович</v>
      </c>
      <c r="C15" s="11" t="str">
        <f>VLOOKUP($A15,TAB,4,FALSE)</f>
        <v>Кушва
Кушва</v>
      </c>
      <c r="D15" s="11" t="str">
        <f>VLOOKUP($A15,TAB,5,FALSE)</f>
        <v>Прото</v>
      </c>
      <c r="E15" s="75">
        <v>3</v>
      </c>
      <c r="F15" s="26"/>
      <c r="G15" s="26">
        <f>VLOOKUP($A15,TAB,70,FALSE)</f>
        <v>90</v>
      </c>
      <c r="H15" s="26">
        <f>VLOOKUP($A15,TAB,101,FALSE)</f>
        <v>90</v>
      </c>
      <c r="I15" s="69"/>
      <c r="J15" s="70"/>
      <c r="K15" s="70"/>
      <c r="L15" s="70"/>
      <c r="M15" s="71"/>
      <c r="N15" s="70"/>
      <c r="O15" s="70"/>
      <c r="P15" s="70"/>
      <c r="Q15" s="25">
        <v>102</v>
      </c>
      <c r="R15" s="11" t="str">
        <f t="shared" si="0"/>
        <v>Иванов Артем Альбертович
Иванов Роман Альбертович</v>
      </c>
      <c r="S15" s="11" t="str">
        <f t="shared" si="1"/>
        <v>Кушва
Кушва</v>
      </c>
      <c r="T15" s="11" t="str">
        <f t="shared" si="2"/>
        <v>Прото</v>
      </c>
      <c r="U15" s="15">
        <f>VLOOKUP($Q15,TAB,22,FALSE)</f>
        <v>4.6233796296296292E-3</v>
      </c>
      <c r="V15" s="26">
        <f>VLOOKUP($Q15,TAB,52,FALSE)</f>
        <v>0</v>
      </c>
      <c r="W15" s="26">
        <f>VLOOKUP($Q15,TAB,84,FALSE)</f>
        <v>84</v>
      </c>
      <c r="X15" s="26">
        <f>VLOOKUP($Q15,TAB,115,FALSE)</f>
        <v>84</v>
      </c>
      <c r="Y15" s="15">
        <f>VLOOKUP($Q15,TAB,23,FALSE)</f>
        <v>7.8935185185185185E-3</v>
      </c>
      <c r="Z15" s="26">
        <f>VLOOKUP($Q15,TAB,53,FALSE)</f>
        <v>0</v>
      </c>
      <c r="AA15" s="26">
        <f>VLOOKUP($Q15,TAB,85,FALSE)</f>
        <v>81</v>
      </c>
      <c r="AB15" s="26">
        <f>VLOOKUP($Q15,TAB,116,FALSE)</f>
        <v>81</v>
      </c>
      <c r="AC15" s="15">
        <f t="shared" si="3"/>
        <v>6.875E-3</v>
      </c>
      <c r="AD15" s="26">
        <f t="shared" si="4"/>
        <v>0</v>
      </c>
      <c r="AE15" s="26">
        <f t="shared" si="5"/>
        <v>87</v>
      </c>
      <c r="AF15" s="26">
        <f t="shared" si="6"/>
        <v>87</v>
      </c>
      <c r="AG15" s="15">
        <f t="shared" si="7"/>
        <v>2.1296296296296298E-3</v>
      </c>
      <c r="AH15" s="26">
        <f t="shared" si="8"/>
        <v>0</v>
      </c>
      <c r="AI15" s="26">
        <f t="shared" si="9"/>
        <v>90</v>
      </c>
      <c r="AJ15" s="26">
        <f t="shared" si="10"/>
        <v>90</v>
      </c>
      <c r="AK15" s="15">
        <f t="shared" si="11"/>
        <v>0</v>
      </c>
      <c r="AL15" s="26">
        <f t="shared" si="12"/>
        <v>0</v>
      </c>
      <c r="AM15" s="26">
        <f t="shared" si="13"/>
        <v>0</v>
      </c>
      <c r="AN15" s="26">
        <f t="shared" si="14"/>
        <v>0</v>
      </c>
      <c r="AO15" s="25">
        <v>102</v>
      </c>
      <c r="AP15" s="11" t="str">
        <f t="shared" si="15"/>
        <v>Иванов Артем Альбертович
Иванов Роман Альбертович</v>
      </c>
      <c r="AQ15" s="11" t="str">
        <f t="shared" si="16"/>
        <v>Кушва
Кушва</v>
      </c>
      <c r="AR15" s="11">
        <f t="shared" si="17"/>
        <v>0</v>
      </c>
      <c r="AS15" s="15" t="str">
        <f t="shared" si="18"/>
        <v>DNF</v>
      </c>
      <c r="AT15" s="26">
        <f t="shared" si="19"/>
        <v>0</v>
      </c>
      <c r="AU15" s="26">
        <f t="shared" si="20"/>
        <v>20</v>
      </c>
      <c r="AV15" s="26">
        <f t="shared" si="21"/>
        <v>20</v>
      </c>
      <c r="AW15" s="15" t="str">
        <f t="shared" si="22"/>
        <v>DNF</v>
      </c>
      <c r="AX15" s="26">
        <f t="shared" si="23"/>
        <v>0</v>
      </c>
      <c r="AY15" s="26">
        <f t="shared" si="24"/>
        <v>20</v>
      </c>
      <c r="AZ15" s="26">
        <f t="shared" si="25"/>
        <v>20</v>
      </c>
      <c r="BA15" s="15">
        <f t="shared" si="26"/>
        <v>0</v>
      </c>
      <c r="BB15" s="26">
        <f t="shared" si="27"/>
        <v>0</v>
      </c>
      <c r="BC15" s="26">
        <f>VLOOKUP($AO15,TAB,91,FALSE)</f>
        <v>0</v>
      </c>
      <c r="BD15" s="26">
        <f t="shared" si="28"/>
        <v>0</v>
      </c>
      <c r="BE15" s="25">
        <v>102</v>
      </c>
      <c r="BF15" s="11" t="str">
        <f t="shared" si="29"/>
        <v>Иванов Артем Альбертович
Иванов Роман Альбертович</v>
      </c>
      <c r="BG15" s="11" t="str">
        <f t="shared" si="30"/>
        <v>Кушва
Кушва</v>
      </c>
      <c r="BH15" s="11" t="str">
        <f t="shared" si="31"/>
        <v>Прото</v>
      </c>
      <c r="BI15" s="15" t="str">
        <f t="shared" si="32"/>
        <v>DNF</v>
      </c>
      <c r="BJ15" s="26">
        <f t="shared" si="33"/>
        <v>0</v>
      </c>
      <c r="BK15" s="26">
        <f t="shared" si="34"/>
        <v>20</v>
      </c>
      <c r="BL15" s="26">
        <f t="shared" si="35"/>
        <v>20</v>
      </c>
      <c r="BM15" s="15" t="str">
        <f t="shared" si="36"/>
        <v>DNF</v>
      </c>
      <c r="BN15" s="26">
        <f t="shared" si="37"/>
        <v>0</v>
      </c>
      <c r="BO15" s="26">
        <f t="shared" si="38"/>
        <v>20</v>
      </c>
      <c r="BP15" s="26">
        <f t="shared" si="39"/>
        <v>20</v>
      </c>
      <c r="BQ15" s="15">
        <f t="shared" si="40"/>
        <v>4.9251157407407412E-3</v>
      </c>
      <c r="BR15" s="26">
        <f t="shared" si="41"/>
        <v>30</v>
      </c>
      <c r="BS15" s="26">
        <f t="shared" si="42"/>
        <v>84</v>
      </c>
      <c r="BT15" s="26">
        <f t="shared" si="43"/>
        <v>54</v>
      </c>
      <c r="BU15" s="25">
        <v>102</v>
      </c>
      <c r="BV15" s="11" t="str">
        <f t="shared" si="44"/>
        <v>Иванов Артем Альбертович
Иванов Роман Альбертович</v>
      </c>
      <c r="BW15" s="11" t="str">
        <f t="shared" si="45"/>
        <v>Кушва
Кушва</v>
      </c>
      <c r="BX15" s="11" t="str">
        <f t="shared" si="46"/>
        <v>Прото</v>
      </c>
      <c r="BY15" s="15" t="str">
        <f t="shared" si="47"/>
        <v>DNF</v>
      </c>
      <c r="BZ15" s="26">
        <f t="shared" si="48"/>
        <v>0</v>
      </c>
      <c r="CA15" s="26">
        <f t="shared" si="49"/>
        <v>20</v>
      </c>
      <c r="CB15" s="26">
        <f t="shared" si="50"/>
        <v>20</v>
      </c>
      <c r="CC15" s="15" t="str">
        <f t="shared" si="51"/>
        <v>DNF</v>
      </c>
      <c r="CD15" s="26">
        <f t="shared" si="52"/>
        <v>0</v>
      </c>
      <c r="CE15" s="26">
        <f t="shared" si="53"/>
        <v>20</v>
      </c>
      <c r="CF15" s="26">
        <f t="shared" si="54"/>
        <v>20</v>
      </c>
      <c r="CG15" s="15" t="str">
        <f t="shared" si="55"/>
        <v>DNF</v>
      </c>
      <c r="CH15" s="26">
        <f t="shared" si="56"/>
        <v>0</v>
      </c>
      <c r="CI15" s="26">
        <f t="shared" si="57"/>
        <v>20</v>
      </c>
      <c r="CJ15" s="26">
        <f t="shared" si="58"/>
        <v>20</v>
      </c>
      <c r="CK15" s="25">
        <v>102</v>
      </c>
      <c r="CL15" s="11" t="str">
        <f t="shared" si="59"/>
        <v>Иванов Артем Альбертович
Иванов Роман Альбертович</v>
      </c>
      <c r="CM15" s="11" t="str">
        <f t="shared" si="60"/>
        <v>Кушва
Кушва</v>
      </c>
      <c r="CN15" s="11" t="str">
        <f t="shared" si="61"/>
        <v>Прото</v>
      </c>
      <c r="CO15" s="15" t="str">
        <f t="shared" si="62"/>
        <v>DNF</v>
      </c>
      <c r="CP15" s="26">
        <f t="shared" si="63"/>
        <v>0</v>
      </c>
      <c r="CQ15" s="26">
        <f t="shared" si="64"/>
        <v>20</v>
      </c>
      <c r="CR15" s="26">
        <f t="shared" si="65"/>
        <v>20</v>
      </c>
      <c r="CS15" s="15" t="str">
        <f t="shared" si="66"/>
        <v>DNF</v>
      </c>
      <c r="CT15" s="26">
        <f t="shared" si="67"/>
        <v>0</v>
      </c>
      <c r="CU15" s="26">
        <f t="shared" si="68"/>
        <v>20</v>
      </c>
      <c r="CV15" s="26">
        <f t="shared" si="69"/>
        <v>20</v>
      </c>
      <c r="CW15" s="15">
        <f t="shared" si="70"/>
        <v>0</v>
      </c>
      <c r="CX15" s="26">
        <f t="shared" si="71"/>
        <v>0</v>
      </c>
      <c r="CY15" s="26">
        <f t="shared" si="72"/>
        <v>0</v>
      </c>
      <c r="CZ15" s="26">
        <f t="shared" si="73"/>
        <v>0</v>
      </c>
      <c r="DA15" s="11">
        <f t="shared" si="74"/>
        <v>666</v>
      </c>
    </row>
    <row r="16" spans="1:105" s="6" customFormat="1" ht="60" x14ac:dyDescent="0.25">
      <c r="A16" s="25">
        <v>104</v>
      </c>
      <c r="B16" s="11" t="str">
        <f>VLOOKUP($A16,TAB,2,FALSE)</f>
        <v>Минеев Юрий Александрович
Макаренко Сергей Викторович</v>
      </c>
      <c r="C16" s="11" t="str">
        <f>VLOOKUP($A16,TAB,4,FALSE)</f>
        <v>Челябинск
Челябинск</v>
      </c>
      <c r="D16" s="11" t="str">
        <f>VLOOKUP($A16,TAB,5,FALSE)</f>
        <v>Прото</v>
      </c>
      <c r="E16" s="75">
        <v>8</v>
      </c>
      <c r="F16" s="26"/>
      <c r="G16" s="26">
        <f>VLOOKUP($A16,TAB,70,FALSE)</f>
        <v>75</v>
      </c>
      <c r="H16" s="26">
        <f>VLOOKUP($A16,TAB,101,FALSE)</f>
        <v>75</v>
      </c>
      <c r="I16" s="69"/>
      <c r="J16" s="70"/>
      <c r="K16" s="70"/>
      <c r="L16" s="70"/>
      <c r="M16" s="71"/>
      <c r="N16" s="70"/>
      <c r="O16" s="70"/>
      <c r="P16" s="70"/>
      <c r="Q16" s="25">
        <v>104</v>
      </c>
      <c r="R16" s="11" t="str">
        <f t="shared" si="0"/>
        <v>Минеев Юрий Александрович
Макаренко Сергей Викторович</v>
      </c>
      <c r="S16" s="11" t="str">
        <f t="shared" si="1"/>
        <v>Челябинск
Челябинск</v>
      </c>
      <c r="T16" s="11" t="str">
        <f t="shared" si="2"/>
        <v>Прото</v>
      </c>
      <c r="U16" s="15">
        <f>VLOOKUP($Q16,TAB,22,FALSE)</f>
        <v>2.0138888888888888E-3</v>
      </c>
      <c r="V16" s="26">
        <f>VLOOKUP($Q16,TAB,52,FALSE)</f>
        <v>60</v>
      </c>
      <c r="W16" s="26">
        <f>VLOOKUP($Q16,TAB,84,FALSE)</f>
        <v>100</v>
      </c>
      <c r="X16" s="26">
        <f>VLOOKUP($Q16,TAB,115,FALSE)</f>
        <v>40</v>
      </c>
      <c r="Y16" s="15" t="str">
        <f>VLOOKUP($Q16,TAB,23,FALSE)</f>
        <v>DNF</v>
      </c>
      <c r="Z16" s="26">
        <f>VLOOKUP($Q16,TAB,53,FALSE)</f>
        <v>0</v>
      </c>
      <c r="AA16" s="26">
        <f>VLOOKUP($Q16,TAB,85,FALSE)</f>
        <v>20</v>
      </c>
      <c r="AB16" s="26">
        <f>VLOOKUP($Q16,TAB,116,FALSE)</f>
        <v>20</v>
      </c>
      <c r="AC16" s="15" t="str">
        <f t="shared" si="3"/>
        <v>DNF</v>
      </c>
      <c r="AD16" s="26">
        <f t="shared" si="4"/>
        <v>0</v>
      </c>
      <c r="AE16" s="26">
        <f t="shared" si="5"/>
        <v>20</v>
      </c>
      <c r="AF16" s="26">
        <f t="shared" si="6"/>
        <v>20</v>
      </c>
      <c r="AG16" s="15">
        <f t="shared" si="7"/>
        <v>2.5115740740740741E-3</v>
      </c>
      <c r="AH16" s="26">
        <f t="shared" si="8"/>
        <v>0</v>
      </c>
      <c r="AI16" s="26">
        <f t="shared" si="9"/>
        <v>87</v>
      </c>
      <c r="AJ16" s="26">
        <f t="shared" si="10"/>
        <v>87</v>
      </c>
      <c r="AK16" s="15" t="str">
        <f t="shared" si="11"/>
        <v>DNF</v>
      </c>
      <c r="AL16" s="26">
        <f t="shared" si="12"/>
        <v>0</v>
      </c>
      <c r="AM16" s="26">
        <f t="shared" si="13"/>
        <v>20</v>
      </c>
      <c r="AN16" s="26">
        <f t="shared" si="14"/>
        <v>20</v>
      </c>
      <c r="AO16" s="25">
        <v>104</v>
      </c>
      <c r="AP16" s="11" t="str">
        <f t="shared" si="15"/>
        <v>Минеев Юрий Александрович
Макаренко Сергей Викторович</v>
      </c>
      <c r="AQ16" s="11" t="str">
        <f t="shared" si="16"/>
        <v>Челябинск
Челябинск</v>
      </c>
      <c r="AR16" s="11">
        <f t="shared" si="17"/>
        <v>0</v>
      </c>
      <c r="AS16" s="15">
        <f t="shared" si="18"/>
        <v>4.8032407407407407E-3</v>
      </c>
      <c r="AT16" s="26">
        <f t="shared" si="19"/>
        <v>0</v>
      </c>
      <c r="AU16" s="26">
        <f t="shared" si="20"/>
        <v>87</v>
      </c>
      <c r="AV16" s="26">
        <f t="shared" si="21"/>
        <v>87</v>
      </c>
      <c r="AW16" s="15">
        <f t="shared" si="22"/>
        <v>4.8842592592592592E-3</v>
      </c>
      <c r="AX16" s="26">
        <f t="shared" si="23"/>
        <v>0</v>
      </c>
      <c r="AY16" s="26">
        <f t="shared" si="24"/>
        <v>87</v>
      </c>
      <c r="AZ16" s="26">
        <f t="shared" si="25"/>
        <v>87</v>
      </c>
      <c r="BA16" s="15">
        <f t="shared" si="26"/>
        <v>3.5611111111111108E-3</v>
      </c>
      <c r="BB16" s="26">
        <f t="shared" si="27"/>
        <v>0</v>
      </c>
      <c r="BC16" s="26">
        <f>VLOOKUP($AO16,TAB,91,FALSE)</f>
        <v>100</v>
      </c>
      <c r="BD16" s="26">
        <f t="shared" si="28"/>
        <v>100</v>
      </c>
      <c r="BE16" s="25">
        <v>104</v>
      </c>
      <c r="BF16" s="11" t="str">
        <f t="shared" si="29"/>
        <v>Минеев Юрий Александрович
Макаренко Сергей Викторович</v>
      </c>
      <c r="BG16" s="11" t="str">
        <f t="shared" si="30"/>
        <v>Челябинск
Челябинск</v>
      </c>
      <c r="BH16" s="11" t="str">
        <f t="shared" si="31"/>
        <v>Прото</v>
      </c>
      <c r="BI16" s="15" t="str">
        <f t="shared" si="32"/>
        <v>DNF</v>
      </c>
      <c r="BJ16" s="26">
        <f t="shared" si="33"/>
        <v>0</v>
      </c>
      <c r="BK16" s="26">
        <f t="shared" si="34"/>
        <v>20</v>
      </c>
      <c r="BL16" s="26">
        <f t="shared" si="35"/>
        <v>20</v>
      </c>
      <c r="BM16" s="15">
        <f t="shared" si="36"/>
        <v>2.3152777777777776E-3</v>
      </c>
      <c r="BN16" s="26">
        <f t="shared" si="37"/>
        <v>0</v>
      </c>
      <c r="BO16" s="26">
        <f t="shared" si="38"/>
        <v>90</v>
      </c>
      <c r="BP16" s="26">
        <f t="shared" si="39"/>
        <v>90</v>
      </c>
      <c r="BQ16" s="15">
        <f t="shared" si="40"/>
        <v>3.0616898148148144E-3</v>
      </c>
      <c r="BR16" s="26">
        <f t="shared" si="41"/>
        <v>0</v>
      </c>
      <c r="BS16" s="26">
        <f t="shared" si="42"/>
        <v>87</v>
      </c>
      <c r="BT16" s="26">
        <f t="shared" si="43"/>
        <v>87</v>
      </c>
      <c r="BU16" s="25">
        <v>104</v>
      </c>
      <c r="BV16" s="11" t="str">
        <f t="shared" si="44"/>
        <v>Минеев Юрий Александрович
Макаренко Сергей Викторович</v>
      </c>
      <c r="BW16" s="11" t="str">
        <f t="shared" si="45"/>
        <v>Челябинск
Челябинск</v>
      </c>
      <c r="BX16" s="11" t="str">
        <f t="shared" si="46"/>
        <v>Прото</v>
      </c>
      <c r="BY16" s="15">
        <f t="shared" si="47"/>
        <v>9.2708333333333341E-3</v>
      </c>
      <c r="BZ16" s="26">
        <f t="shared" si="48"/>
        <v>10</v>
      </c>
      <c r="CA16" s="26">
        <f t="shared" si="49"/>
        <v>95</v>
      </c>
      <c r="CB16" s="26">
        <f t="shared" si="50"/>
        <v>85</v>
      </c>
      <c r="CC16" s="15" t="str">
        <f t="shared" si="51"/>
        <v>DNF</v>
      </c>
      <c r="CD16" s="26">
        <f t="shared" si="52"/>
        <v>0</v>
      </c>
      <c r="CE16" s="26">
        <f t="shared" si="53"/>
        <v>20</v>
      </c>
      <c r="CF16" s="26">
        <f t="shared" si="54"/>
        <v>20</v>
      </c>
      <c r="CG16" s="15" t="str">
        <f t="shared" si="55"/>
        <v>DNF</v>
      </c>
      <c r="CH16" s="26">
        <f t="shared" si="56"/>
        <v>0</v>
      </c>
      <c r="CI16" s="26">
        <f t="shared" si="57"/>
        <v>20</v>
      </c>
      <c r="CJ16" s="26">
        <f t="shared" si="58"/>
        <v>20</v>
      </c>
      <c r="CK16" s="25">
        <v>104</v>
      </c>
      <c r="CL16" s="11" t="str">
        <f t="shared" si="59"/>
        <v>Минеев Юрий Александрович
Макаренко Сергей Викторович</v>
      </c>
      <c r="CM16" s="11" t="str">
        <f t="shared" si="60"/>
        <v>Челябинск
Челябинск</v>
      </c>
      <c r="CN16" s="11" t="str">
        <f t="shared" si="61"/>
        <v>Прото</v>
      </c>
      <c r="CO16" s="15" t="str">
        <f t="shared" si="62"/>
        <v>DNF</v>
      </c>
      <c r="CP16" s="26">
        <f t="shared" si="63"/>
        <v>0</v>
      </c>
      <c r="CQ16" s="26">
        <f t="shared" si="64"/>
        <v>20</v>
      </c>
      <c r="CR16" s="26">
        <f t="shared" si="65"/>
        <v>20</v>
      </c>
      <c r="CS16" s="15" t="str">
        <f t="shared" si="66"/>
        <v>DNF</v>
      </c>
      <c r="CT16" s="26">
        <f t="shared" si="67"/>
        <v>0</v>
      </c>
      <c r="CU16" s="26">
        <f t="shared" si="68"/>
        <v>20</v>
      </c>
      <c r="CV16" s="26">
        <f t="shared" si="69"/>
        <v>20</v>
      </c>
      <c r="CW16" s="15">
        <f t="shared" si="70"/>
        <v>0</v>
      </c>
      <c r="CX16" s="26">
        <f t="shared" si="71"/>
        <v>0</v>
      </c>
      <c r="CY16" s="26">
        <f t="shared" si="72"/>
        <v>0</v>
      </c>
      <c r="CZ16" s="26">
        <f t="shared" si="73"/>
        <v>0</v>
      </c>
      <c r="DA16" s="11">
        <f t="shared" si="74"/>
        <v>898</v>
      </c>
    </row>
    <row r="17" spans="1:105" s="6" customFormat="1" ht="60" x14ac:dyDescent="0.25">
      <c r="A17" s="25">
        <v>105</v>
      </c>
      <c r="B17" s="11" t="str">
        <f>VLOOKUP($A17,TAB,2,FALSE)</f>
        <v>Мошкин Петр Александрович
Солод Дмитрий Анатольевич</v>
      </c>
      <c r="C17" s="11" t="str">
        <f>VLOOKUP($A17,TAB,4,FALSE)</f>
        <v>Сатка
Коркино</v>
      </c>
      <c r="D17" s="11" t="str">
        <f>VLOOKUP($A17,TAB,5,FALSE)</f>
        <v>Прото</v>
      </c>
      <c r="E17" s="75">
        <v>4</v>
      </c>
      <c r="F17" s="26"/>
      <c r="G17" s="26">
        <f>VLOOKUP($A17,TAB,70,FALSE)</f>
        <v>87</v>
      </c>
      <c r="H17" s="26">
        <f>VLOOKUP($A17,TAB,101,FALSE)</f>
        <v>87</v>
      </c>
      <c r="I17" s="69"/>
      <c r="J17" s="70"/>
      <c r="K17" s="70"/>
      <c r="L17" s="70"/>
      <c r="M17" s="71"/>
      <c r="N17" s="70"/>
      <c r="O17" s="70"/>
      <c r="P17" s="70"/>
      <c r="Q17" s="25">
        <v>105</v>
      </c>
      <c r="R17" s="11" t="str">
        <f t="shared" si="0"/>
        <v>Мошкин Петр Александрович
Солод Дмитрий Анатольевич</v>
      </c>
      <c r="S17" s="11" t="str">
        <f t="shared" si="1"/>
        <v>Сатка
Коркино</v>
      </c>
      <c r="T17" s="11" t="str">
        <f t="shared" si="2"/>
        <v>Прото</v>
      </c>
      <c r="U17" s="15" t="str">
        <f>VLOOKUP($Q17,TAB,22,FALSE)</f>
        <v>DNF</v>
      </c>
      <c r="V17" s="26">
        <f>VLOOKUP($Q17,TAB,52,FALSE)</f>
        <v>0</v>
      </c>
      <c r="W17" s="26">
        <f>VLOOKUP($Q17,TAB,84,FALSE)</f>
        <v>20</v>
      </c>
      <c r="X17" s="26">
        <f>VLOOKUP($Q17,TAB,115,FALSE)</f>
        <v>20</v>
      </c>
      <c r="Y17" s="15" t="str">
        <f>VLOOKUP($Q17,TAB,23,FALSE)</f>
        <v>DNF</v>
      </c>
      <c r="Z17" s="26">
        <f>VLOOKUP($Q17,TAB,53,FALSE)</f>
        <v>0</v>
      </c>
      <c r="AA17" s="26">
        <f>VLOOKUP($Q17,TAB,85,FALSE)</f>
        <v>20</v>
      </c>
      <c r="AB17" s="26">
        <f>VLOOKUP($Q17,TAB,116,FALSE)</f>
        <v>20</v>
      </c>
      <c r="AC17" s="15">
        <f t="shared" si="3"/>
        <v>0</v>
      </c>
      <c r="AD17" s="26">
        <f t="shared" si="4"/>
        <v>0</v>
      </c>
      <c r="AE17" s="26">
        <f t="shared" si="5"/>
        <v>0</v>
      </c>
      <c r="AF17" s="26">
        <f t="shared" si="6"/>
        <v>0</v>
      </c>
      <c r="AG17" s="15">
        <f t="shared" si="7"/>
        <v>4.31712962962963E-3</v>
      </c>
      <c r="AH17" s="26">
        <f t="shared" si="8"/>
        <v>0</v>
      </c>
      <c r="AI17" s="26">
        <f t="shared" si="9"/>
        <v>81</v>
      </c>
      <c r="AJ17" s="26">
        <f t="shared" si="10"/>
        <v>81</v>
      </c>
      <c r="AK17" s="15" t="str">
        <f t="shared" si="11"/>
        <v>DNF</v>
      </c>
      <c r="AL17" s="26">
        <f t="shared" si="12"/>
        <v>0</v>
      </c>
      <c r="AM17" s="26">
        <f t="shared" si="13"/>
        <v>20</v>
      </c>
      <c r="AN17" s="26">
        <f t="shared" si="14"/>
        <v>20</v>
      </c>
      <c r="AO17" s="25">
        <v>105</v>
      </c>
      <c r="AP17" s="11" t="str">
        <f t="shared" si="15"/>
        <v>Мошкин Петр Александрович
Солод Дмитрий Анатольевич</v>
      </c>
      <c r="AQ17" s="11" t="str">
        <f t="shared" si="16"/>
        <v>Сатка
Коркино</v>
      </c>
      <c r="AR17" s="11" t="str">
        <f t="shared" si="17"/>
        <v>186707</v>
      </c>
      <c r="AS17" s="15">
        <f t="shared" si="18"/>
        <v>3.4375E-3</v>
      </c>
      <c r="AT17" s="26">
        <f t="shared" si="19"/>
        <v>0</v>
      </c>
      <c r="AU17" s="26">
        <f t="shared" si="20"/>
        <v>90</v>
      </c>
      <c r="AV17" s="26">
        <f t="shared" si="21"/>
        <v>90</v>
      </c>
      <c r="AW17" s="15">
        <f t="shared" si="22"/>
        <v>4.1666666666666666E-3</v>
      </c>
      <c r="AX17" s="26">
        <f t="shared" si="23"/>
        <v>0</v>
      </c>
      <c r="AY17" s="26">
        <f t="shared" si="24"/>
        <v>95</v>
      </c>
      <c r="AZ17" s="26">
        <f t="shared" si="25"/>
        <v>95</v>
      </c>
      <c r="BA17" s="15">
        <f t="shared" si="26"/>
        <v>7.702199074074074E-3</v>
      </c>
      <c r="BB17" s="26">
        <f t="shared" si="27"/>
        <v>0</v>
      </c>
      <c r="BC17" s="26">
        <f>VLOOKUP($AO17,TAB,91,FALSE)</f>
        <v>90</v>
      </c>
      <c r="BD17" s="26">
        <f t="shared" si="28"/>
        <v>90</v>
      </c>
      <c r="BE17" s="25">
        <v>105</v>
      </c>
      <c r="BF17" s="11" t="str">
        <f t="shared" si="29"/>
        <v>Мошкин Петр Александрович
Солод Дмитрий Анатольевич</v>
      </c>
      <c r="BG17" s="11" t="str">
        <f t="shared" si="30"/>
        <v>Сатка
Коркино</v>
      </c>
      <c r="BH17" s="11" t="str">
        <f t="shared" si="31"/>
        <v>Прото</v>
      </c>
      <c r="BI17" s="15">
        <f t="shared" si="32"/>
        <v>8.8914351851851845E-3</v>
      </c>
      <c r="BJ17" s="26">
        <f t="shared" si="33"/>
        <v>20</v>
      </c>
      <c r="BK17" s="26">
        <f t="shared" si="34"/>
        <v>95</v>
      </c>
      <c r="BL17" s="26">
        <f t="shared" si="35"/>
        <v>75</v>
      </c>
      <c r="BM17" s="15">
        <f t="shared" si="36"/>
        <v>2.9364583333333339E-3</v>
      </c>
      <c r="BN17" s="26">
        <f t="shared" si="37"/>
        <v>0</v>
      </c>
      <c r="BO17" s="26">
        <f t="shared" si="38"/>
        <v>87</v>
      </c>
      <c r="BP17" s="26">
        <f t="shared" si="39"/>
        <v>87</v>
      </c>
      <c r="BQ17" s="15">
        <f t="shared" si="40"/>
        <v>2.673611111111111E-3</v>
      </c>
      <c r="BR17" s="26">
        <f t="shared" si="41"/>
        <v>0</v>
      </c>
      <c r="BS17" s="26">
        <f t="shared" si="42"/>
        <v>95</v>
      </c>
      <c r="BT17" s="26">
        <f t="shared" si="43"/>
        <v>95</v>
      </c>
      <c r="BU17" s="25">
        <v>105</v>
      </c>
      <c r="BV17" s="11" t="str">
        <f t="shared" si="44"/>
        <v>Мошкин Петр Александрович
Солод Дмитрий Анатольевич</v>
      </c>
      <c r="BW17" s="11" t="str">
        <f t="shared" si="45"/>
        <v>Сатка
Коркино</v>
      </c>
      <c r="BX17" s="11" t="str">
        <f t="shared" si="46"/>
        <v>Прото</v>
      </c>
      <c r="BY17" s="15" t="str">
        <f t="shared" si="47"/>
        <v>DNF</v>
      </c>
      <c r="BZ17" s="26">
        <f t="shared" si="48"/>
        <v>0</v>
      </c>
      <c r="CA17" s="26">
        <f t="shared" si="49"/>
        <v>20</v>
      </c>
      <c r="CB17" s="26">
        <f t="shared" si="50"/>
        <v>20</v>
      </c>
      <c r="CC17" s="15">
        <f t="shared" si="51"/>
        <v>3.3680555555555551E-3</v>
      </c>
      <c r="CD17" s="26">
        <f t="shared" si="52"/>
        <v>0</v>
      </c>
      <c r="CE17" s="26">
        <f t="shared" si="53"/>
        <v>95</v>
      </c>
      <c r="CF17" s="26">
        <f t="shared" si="54"/>
        <v>95</v>
      </c>
      <c r="CG17" s="15">
        <f t="shared" si="55"/>
        <v>6.9097222222222225E-3</v>
      </c>
      <c r="CH17" s="26">
        <f t="shared" si="56"/>
        <v>0</v>
      </c>
      <c r="CI17" s="26">
        <f t="shared" si="57"/>
        <v>95</v>
      </c>
      <c r="CJ17" s="26">
        <f t="shared" si="58"/>
        <v>95</v>
      </c>
      <c r="CK17" s="25">
        <v>105</v>
      </c>
      <c r="CL17" s="11" t="str">
        <f t="shared" si="59"/>
        <v>Мошкин Петр Александрович
Солод Дмитрий Анатольевич</v>
      </c>
      <c r="CM17" s="11" t="str">
        <f t="shared" si="60"/>
        <v>Сатка
Коркино</v>
      </c>
      <c r="CN17" s="11" t="str">
        <f t="shared" si="61"/>
        <v>Прото</v>
      </c>
      <c r="CO17" s="15" t="str">
        <f t="shared" si="62"/>
        <v>DNF</v>
      </c>
      <c r="CP17" s="26">
        <f t="shared" si="63"/>
        <v>0</v>
      </c>
      <c r="CQ17" s="26">
        <f t="shared" si="64"/>
        <v>20</v>
      </c>
      <c r="CR17" s="26">
        <f t="shared" si="65"/>
        <v>20</v>
      </c>
      <c r="CS17" s="15" t="str">
        <f t="shared" si="66"/>
        <v>DNF</v>
      </c>
      <c r="CT17" s="26">
        <f t="shared" si="67"/>
        <v>0</v>
      </c>
      <c r="CU17" s="26">
        <f t="shared" si="68"/>
        <v>20</v>
      </c>
      <c r="CV17" s="26">
        <f t="shared" si="69"/>
        <v>20</v>
      </c>
      <c r="CW17" s="15">
        <f t="shared" si="70"/>
        <v>0</v>
      </c>
      <c r="CX17" s="26">
        <f t="shared" si="71"/>
        <v>0</v>
      </c>
      <c r="CY17" s="26">
        <f t="shared" si="72"/>
        <v>0</v>
      </c>
      <c r="CZ17" s="26">
        <f t="shared" si="73"/>
        <v>0</v>
      </c>
      <c r="DA17" s="11">
        <f t="shared" si="74"/>
        <v>1010</v>
      </c>
    </row>
    <row r="18" spans="1:105" s="6" customFormat="1" ht="60" x14ac:dyDescent="0.25">
      <c r="A18" s="25">
        <v>107</v>
      </c>
      <c r="B18" s="11" t="str">
        <f>VLOOKUP($A18,TAB,2,FALSE)</f>
        <v>Демидов Максим Владимирович
Назаров Сергей Александрович</v>
      </c>
      <c r="C18" s="11" t="str">
        <f>VLOOKUP($A18,TAB,4,FALSE)</f>
        <v>Челябинск
Челябинск</v>
      </c>
      <c r="D18" s="11" t="str">
        <f>VLOOKUP($A18,TAB,5,FALSE)</f>
        <v>Прото</v>
      </c>
      <c r="E18" s="75">
        <v>5</v>
      </c>
      <c r="F18" s="26"/>
      <c r="G18" s="26">
        <f>VLOOKUP($A18,TAB,70,FALSE)</f>
        <v>84</v>
      </c>
      <c r="H18" s="26">
        <f>VLOOKUP($A18,TAB,101,FALSE)</f>
        <v>84</v>
      </c>
      <c r="I18" s="69"/>
      <c r="J18" s="70"/>
      <c r="K18" s="70"/>
      <c r="L18" s="70"/>
      <c r="M18" s="71"/>
      <c r="N18" s="70"/>
      <c r="O18" s="70"/>
      <c r="P18" s="70"/>
      <c r="Q18" s="25">
        <v>107</v>
      </c>
      <c r="R18" s="11" t="str">
        <f t="shared" si="0"/>
        <v>Демидов Максим Владимирович
Назаров Сергей Александрович</v>
      </c>
      <c r="S18" s="11" t="str">
        <f t="shared" si="1"/>
        <v>Челябинск
Челябинск</v>
      </c>
      <c r="T18" s="11" t="str">
        <f t="shared" si="2"/>
        <v>Прото</v>
      </c>
      <c r="U18" s="15">
        <f>VLOOKUP($Q18,TAB,22,FALSE)</f>
        <v>2.8399305555555556E-3</v>
      </c>
      <c r="V18" s="26">
        <f>VLOOKUP($Q18,TAB,52,FALSE)</f>
        <v>0</v>
      </c>
      <c r="W18" s="26">
        <f>VLOOKUP($Q18,TAB,84,FALSE)</f>
        <v>87</v>
      </c>
      <c r="X18" s="26">
        <f>VLOOKUP($Q18,TAB,115,FALSE)</f>
        <v>87</v>
      </c>
      <c r="Y18" s="15">
        <f>VLOOKUP($Q18,TAB,23,FALSE)</f>
        <v>6.238425925925925E-3</v>
      </c>
      <c r="Z18" s="26">
        <f>VLOOKUP($Q18,TAB,53,FALSE)</f>
        <v>0</v>
      </c>
      <c r="AA18" s="26">
        <f>VLOOKUP($Q18,TAB,85,FALSE)</f>
        <v>84</v>
      </c>
      <c r="AB18" s="26">
        <f>VLOOKUP($Q18,TAB,116,FALSE)</f>
        <v>84</v>
      </c>
      <c r="AC18" s="15">
        <f t="shared" si="3"/>
        <v>3.9120370370370368E-3</v>
      </c>
      <c r="AD18" s="26">
        <f t="shared" si="4"/>
        <v>0</v>
      </c>
      <c r="AE18" s="26">
        <f t="shared" si="5"/>
        <v>90</v>
      </c>
      <c r="AF18" s="26">
        <f t="shared" si="6"/>
        <v>90</v>
      </c>
      <c r="AG18" s="15">
        <f t="shared" si="7"/>
        <v>1.712962962962963E-3</v>
      </c>
      <c r="AH18" s="26">
        <f t="shared" si="8"/>
        <v>0</v>
      </c>
      <c r="AI18" s="26">
        <f t="shared" si="9"/>
        <v>95</v>
      </c>
      <c r="AJ18" s="26">
        <f t="shared" si="10"/>
        <v>95</v>
      </c>
      <c r="AK18" s="15">
        <f t="shared" si="11"/>
        <v>5.4261574074074073E-3</v>
      </c>
      <c r="AL18" s="26">
        <f t="shared" si="12"/>
        <v>0</v>
      </c>
      <c r="AM18" s="26">
        <f t="shared" si="13"/>
        <v>90</v>
      </c>
      <c r="AN18" s="26">
        <f t="shared" si="14"/>
        <v>90</v>
      </c>
      <c r="AO18" s="25">
        <v>107</v>
      </c>
      <c r="AP18" s="11" t="str">
        <f t="shared" si="15"/>
        <v>Демидов Максим Владимирович
Назаров Сергей Александрович</v>
      </c>
      <c r="AQ18" s="11" t="str">
        <f t="shared" si="16"/>
        <v>Челябинск
Челябинск</v>
      </c>
      <c r="AR18" s="11" t="str">
        <f t="shared" si="17"/>
        <v>186712</v>
      </c>
      <c r="AS18" s="15">
        <f t="shared" si="18"/>
        <v>2.9629629629629628E-3</v>
      </c>
      <c r="AT18" s="26">
        <f t="shared" si="19"/>
        <v>0</v>
      </c>
      <c r="AU18" s="26">
        <f t="shared" si="20"/>
        <v>95</v>
      </c>
      <c r="AV18" s="26">
        <f t="shared" si="21"/>
        <v>95</v>
      </c>
      <c r="AW18" s="15">
        <f t="shared" si="22"/>
        <v>2.3611111111111111E-3</v>
      </c>
      <c r="AX18" s="26">
        <f t="shared" si="23"/>
        <v>0</v>
      </c>
      <c r="AY18" s="26">
        <f t="shared" si="24"/>
        <v>100</v>
      </c>
      <c r="AZ18" s="26">
        <f t="shared" si="25"/>
        <v>100</v>
      </c>
      <c r="BA18" s="15">
        <f t="shared" si="26"/>
        <v>0</v>
      </c>
      <c r="BB18" s="26">
        <f t="shared" si="27"/>
        <v>0</v>
      </c>
      <c r="BC18" s="26">
        <f>VLOOKUP($AO18,TAB,91,FALSE)</f>
        <v>0</v>
      </c>
      <c r="BD18" s="26">
        <f t="shared" si="28"/>
        <v>0</v>
      </c>
      <c r="BE18" s="25">
        <v>107</v>
      </c>
      <c r="BF18" s="11" t="str">
        <f t="shared" si="29"/>
        <v>Демидов Максим Владимирович
Назаров Сергей Александрович</v>
      </c>
      <c r="BG18" s="11" t="str">
        <f t="shared" si="30"/>
        <v>Челябинск
Челябинск</v>
      </c>
      <c r="BH18" s="11" t="str">
        <f t="shared" si="31"/>
        <v>Прото</v>
      </c>
      <c r="BI18" s="15" t="str">
        <f t="shared" si="32"/>
        <v>DNF</v>
      </c>
      <c r="BJ18" s="26">
        <f t="shared" si="33"/>
        <v>0</v>
      </c>
      <c r="BK18" s="26">
        <f t="shared" si="34"/>
        <v>20</v>
      </c>
      <c r="BL18" s="26">
        <f t="shared" si="35"/>
        <v>20</v>
      </c>
      <c r="BM18" s="15">
        <f t="shared" si="36"/>
        <v>2.0836805555555556E-3</v>
      </c>
      <c r="BN18" s="26">
        <f t="shared" si="37"/>
        <v>0</v>
      </c>
      <c r="BO18" s="26">
        <f t="shared" si="38"/>
        <v>95</v>
      </c>
      <c r="BP18" s="26">
        <f t="shared" si="39"/>
        <v>95</v>
      </c>
      <c r="BQ18" s="15">
        <f t="shared" si="40"/>
        <v>1.4069444444444442E-3</v>
      </c>
      <c r="BR18" s="26">
        <f t="shared" si="41"/>
        <v>0</v>
      </c>
      <c r="BS18" s="26">
        <f t="shared" si="42"/>
        <v>100</v>
      </c>
      <c r="BT18" s="26">
        <f t="shared" si="43"/>
        <v>100</v>
      </c>
      <c r="BU18" s="25">
        <v>107</v>
      </c>
      <c r="BV18" s="11" t="str">
        <f t="shared" si="44"/>
        <v>Демидов Максим Владимирович
Назаров Сергей Александрович</v>
      </c>
      <c r="BW18" s="11" t="str">
        <f t="shared" si="45"/>
        <v>Челябинск
Челябинск</v>
      </c>
      <c r="BX18" s="11" t="str">
        <f t="shared" si="46"/>
        <v>Прото</v>
      </c>
      <c r="BY18" s="15">
        <f t="shared" si="47"/>
        <v>1.0208333333333333E-2</v>
      </c>
      <c r="BZ18" s="26">
        <f t="shared" si="48"/>
        <v>40</v>
      </c>
      <c r="CA18" s="26">
        <f t="shared" si="49"/>
        <v>90</v>
      </c>
      <c r="CB18" s="26">
        <f t="shared" si="50"/>
        <v>50</v>
      </c>
      <c r="CC18" s="15">
        <f t="shared" si="51"/>
        <v>5.6828703703703702E-3</v>
      </c>
      <c r="CD18" s="26">
        <f t="shared" si="52"/>
        <v>0</v>
      </c>
      <c r="CE18" s="26">
        <f t="shared" si="53"/>
        <v>90</v>
      </c>
      <c r="CF18" s="26">
        <f t="shared" si="54"/>
        <v>90</v>
      </c>
      <c r="CG18" s="15">
        <f t="shared" si="55"/>
        <v>5.7638888888888887E-3</v>
      </c>
      <c r="CH18" s="26">
        <f t="shared" si="56"/>
        <v>0</v>
      </c>
      <c r="CI18" s="26">
        <f t="shared" si="57"/>
        <v>100</v>
      </c>
      <c r="CJ18" s="26">
        <f t="shared" si="58"/>
        <v>100</v>
      </c>
      <c r="CK18" s="25">
        <v>107</v>
      </c>
      <c r="CL18" s="11" t="str">
        <f t="shared" si="59"/>
        <v>Демидов Максим Владимирович
Назаров Сергей Александрович</v>
      </c>
      <c r="CM18" s="11" t="str">
        <f t="shared" si="60"/>
        <v>Челябинск
Челябинск</v>
      </c>
      <c r="CN18" s="11" t="str">
        <f t="shared" si="61"/>
        <v>Прото</v>
      </c>
      <c r="CO18" s="15" t="str">
        <f t="shared" si="62"/>
        <v>DNF</v>
      </c>
      <c r="CP18" s="26">
        <f t="shared" si="63"/>
        <v>0</v>
      </c>
      <c r="CQ18" s="26">
        <f t="shared" si="64"/>
        <v>20</v>
      </c>
      <c r="CR18" s="26">
        <f t="shared" si="65"/>
        <v>20</v>
      </c>
      <c r="CS18" s="15">
        <f t="shared" si="66"/>
        <v>1.2731481481481483E-3</v>
      </c>
      <c r="CT18" s="26">
        <f t="shared" si="67"/>
        <v>0</v>
      </c>
      <c r="CU18" s="26">
        <f t="shared" si="68"/>
        <v>100</v>
      </c>
      <c r="CV18" s="26">
        <f t="shared" si="69"/>
        <v>100</v>
      </c>
      <c r="CW18" s="15">
        <f t="shared" si="70"/>
        <v>0</v>
      </c>
      <c r="CX18" s="26">
        <f t="shared" si="71"/>
        <v>0</v>
      </c>
      <c r="CY18" s="26">
        <f t="shared" si="72"/>
        <v>0</v>
      </c>
      <c r="CZ18" s="26">
        <f t="shared" si="73"/>
        <v>0</v>
      </c>
      <c r="DA18" s="11">
        <f t="shared" si="74"/>
        <v>1300</v>
      </c>
    </row>
    <row r="19" spans="1:105" s="6" customFormat="1" ht="60" x14ac:dyDescent="0.25">
      <c r="A19" s="25">
        <v>108</v>
      </c>
      <c r="B19" s="11" t="str">
        <f>VLOOKUP($A19,TAB,2,FALSE)</f>
        <v>Насыров Артур Уралович
Котов Вячеслав Сергеевич</v>
      </c>
      <c r="C19" s="11" t="str">
        <f>VLOOKUP($A19,TAB,4,FALSE)</f>
        <v>Сатка
Тюмень</v>
      </c>
      <c r="D19" s="11" t="str">
        <f>VLOOKUP($A19,TAB,5,FALSE)</f>
        <v>Прото</v>
      </c>
      <c r="E19" s="75">
        <v>2</v>
      </c>
      <c r="F19" s="26"/>
      <c r="G19" s="26">
        <f>VLOOKUP($A19,TAB,70,FALSE)</f>
        <v>95</v>
      </c>
      <c r="H19" s="26">
        <f>VLOOKUP($A19,TAB,101,FALSE)</f>
        <v>95</v>
      </c>
      <c r="I19" s="69"/>
      <c r="J19" s="70"/>
      <c r="K19" s="70"/>
      <c r="L19" s="70"/>
      <c r="M19" s="71"/>
      <c r="N19" s="70"/>
      <c r="O19" s="70"/>
      <c r="P19" s="70"/>
      <c r="Q19" s="25">
        <v>108</v>
      </c>
      <c r="R19" s="11" t="str">
        <f t="shared" si="0"/>
        <v>Насыров Артур Уралович
Котов Вячеслав Сергеевич</v>
      </c>
      <c r="S19" s="11" t="str">
        <f t="shared" si="1"/>
        <v>Сатка
Тюмень</v>
      </c>
      <c r="T19" s="11" t="str">
        <f t="shared" si="2"/>
        <v>Прото</v>
      </c>
      <c r="U19" s="15">
        <f>VLOOKUP($Q19,TAB,22,FALSE)</f>
        <v>2.3954861111111113E-3</v>
      </c>
      <c r="V19" s="26">
        <f>VLOOKUP($Q19,TAB,52,FALSE)</f>
        <v>0</v>
      </c>
      <c r="W19" s="26">
        <f>VLOOKUP($Q19,TAB,84,FALSE)</f>
        <v>90</v>
      </c>
      <c r="X19" s="26">
        <f>VLOOKUP($Q19,TAB,115,FALSE)</f>
        <v>90</v>
      </c>
      <c r="Y19" s="15">
        <f>VLOOKUP($Q19,TAB,23,FALSE)</f>
        <v>4.9652777777777777E-3</v>
      </c>
      <c r="Z19" s="26">
        <f>VLOOKUP($Q19,TAB,53,FALSE)</f>
        <v>0</v>
      </c>
      <c r="AA19" s="26">
        <f>VLOOKUP($Q19,TAB,85,FALSE)</f>
        <v>87</v>
      </c>
      <c r="AB19" s="26">
        <f>VLOOKUP($Q19,TAB,116,FALSE)</f>
        <v>87</v>
      </c>
      <c r="AC19" s="15">
        <f t="shared" si="3"/>
        <v>0</v>
      </c>
      <c r="AD19" s="26">
        <f t="shared" si="4"/>
        <v>0</v>
      </c>
      <c r="AE19" s="26">
        <f t="shared" si="5"/>
        <v>0</v>
      </c>
      <c r="AF19" s="26">
        <f t="shared" si="6"/>
        <v>0</v>
      </c>
      <c r="AG19" s="15">
        <f t="shared" si="7"/>
        <v>1.4699074074074074E-3</v>
      </c>
      <c r="AH19" s="26">
        <f t="shared" si="8"/>
        <v>0</v>
      </c>
      <c r="AI19" s="26">
        <f t="shared" si="9"/>
        <v>100</v>
      </c>
      <c r="AJ19" s="26">
        <f t="shared" si="10"/>
        <v>100</v>
      </c>
      <c r="AK19" s="15">
        <f t="shared" si="11"/>
        <v>8.3412037037037031E-3</v>
      </c>
      <c r="AL19" s="26">
        <f t="shared" si="12"/>
        <v>0</v>
      </c>
      <c r="AM19" s="26">
        <f t="shared" si="13"/>
        <v>87</v>
      </c>
      <c r="AN19" s="26">
        <f t="shared" si="14"/>
        <v>87</v>
      </c>
      <c r="AO19" s="25">
        <v>108</v>
      </c>
      <c r="AP19" s="11" t="str">
        <f t="shared" si="15"/>
        <v>Насыров Артур Уралович
Котов Вячеслав Сергеевич</v>
      </c>
      <c r="AQ19" s="11" t="str">
        <f t="shared" si="16"/>
        <v>Сатка
Тюмень</v>
      </c>
      <c r="AR19" s="11" t="str">
        <f t="shared" si="17"/>
        <v>ххх
183677</v>
      </c>
      <c r="AS19" s="15">
        <f t="shared" si="18"/>
        <v>0</v>
      </c>
      <c r="AT19" s="26">
        <f t="shared" si="19"/>
        <v>0</v>
      </c>
      <c r="AU19" s="26">
        <f t="shared" si="20"/>
        <v>0</v>
      </c>
      <c r="AV19" s="26">
        <f t="shared" si="21"/>
        <v>0</v>
      </c>
      <c r="AW19" s="15">
        <f t="shared" si="22"/>
        <v>0</v>
      </c>
      <c r="AX19" s="26">
        <f t="shared" si="23"/>
        <v>0</v>
      </c>
      <c r="AY19" s="26">
        <f t="shared" si="24"/>
        <v>0</v>
      </c>
      <c r="AZ19" s="26">
        <f t="shared" si="25"/>
        <v>0</v>
      </c>
      <c r="BA19" s="15">
        <f t="shared" si="26"/>
        <v>7.5839120370370357E-3</v>
      </c>
      <c r="BB19" s="26">
        <f t="shared" si="27"/>
        <v>0</v>
      </c>
      <c r="BC19" s="26">
        <f>VLOOKUP($AO19,TAB,91,FALSE)</f>
        <v>95</v>
      </c>
      <c r="BD19" s="26">
        <f t="shared" si="28"/>
        <v>95</v>
      </c>
      <c r="BE19" s="25">
        <v>108</v>
      </c>
      <c r="BF19" s="11" t="str">
        <f t="shared" si="29"/>
        <v>Насыров Артур Уралович
Котов Вячеслав Сергеевич</v>
      </c>
      <c r="BG19" s="11" t="str">
        <f t="shared" si="30"/>
        <v>Сатка
Тюмень</v>
      </c>
      <c r="BH19" s="11" t="str">
        <f t="shared" si="31"/>
        <v>Прото</v>
      </c>
      <c r="BI19" s="15">
        <f t="shared" si="32"/>
        <v>0</v>
      </c>
      <c r="BJ19" s="26">
        <f t="shared" si="33"/>
        <v>0</v>
      </c>
      <c r="BK19" s="26">
        <f t="shared" si="34"/>
        <v>0</v>
      </c>
      <c r="BL19" s="26">
        <f t="shared" si="35"/>
        <v>0</v>
      </c>
      <c r="BM19" s="15">
        <f t="shared" si="36"/>
        <v>0</v>
      </c>
      <c r="BN19" s="26">
        <f t="shared" si="37"/>
        <v>0</v>
      </c>
      <c r="BO19" s="26">
        <f t="shared" si="38"/>
        <v>0</v>
      </c>
      <c r="BP19" s="26">
        <f t="shared" si="39"/>
        <v>0</v>
      </c>
      <c r="BQ19" s="15">
        <f t="shared" si="40"/>
        <v>2.9127314814814819E-3</v>
      </c>
      <c r="BR19" s="26">
        <f t="shared" si="41"/>
        <v>0</v>
      </c>
      <c r="BS19" s="26">
        <f t="shared" si="42"/>
        <v>90</v>
      </c>
      <c r="BT19" s="26">
        <f t="shared" si="43"/>
        <v>90</v>
      </c>
      <c r="BU19" s="25">
        <v>108</v>
      </c>
      <c r="BV19" s="11" t="str">
        <f t="shared" si="44"/>
        <v>Насыров Артур Уралович
Котов Вячеслав Сергеевич</v>
      </c>
      <c r="BW19" s="11" t="str">
        <f t="shared" si="45"/>
        <v>Сатка
Тюмень</v>
      </c>
      <c r="BX19" s="11" t="str">
        <f t="shared" si="46"/>
        <v>Прото</v>
      </c>
      <c r="BY19" s="15">
        <f t="shared" si="47"/>
        <v>0</v>
      </c>
      <c r="BZ19" s="26">
        <f t="shared" si="48"/>
        <v>0</v>
      </c>
      <c r="CA19" s="26">
        <f t="shared" si="49"/>
        <v>0</v>
      </c>
      <c r="CB19" s="26">
        <f t="shared" si="50"/>
        <v>0</v>
      </c>
      <c r="CC19" s="15">
        <f t="shared" si="51"/>
        <v>0</v>
      </c>
      <c r="CD19" s="26">
        <f t="shared" si="52"/>
        <v>0</v>
      </c>
      <c r="CE19" s="26">
        <f t="shared" si="53"/>
        <v>0</v>
      </c>
      <c r="CF19" s="26">
        <f t="shared" si="54"/>
        <v>0</v>
      </c>
      <c r="CG19" s="15">
        <f t="shared" si="55"/>
        <v>0</v>
      </c>
      <c r="CH19" s="26">
        <f t="shared" si="56"/>
        <v>0</v>
      </c>
      <c r="CI19" s="26">
        <f t="shared" si="57"/>
        <v>0</v>
      </c>
      <c r="CJ19" s="26">
        <f t="shared" si="58"/>
        <v>0</v>
      </c>
      <c r="CK19" s="25">
        <v>108</v>
      </c>
      <c r="CL19" s="11" t="str">
        <f t="shared" si="59"/>
        <v>Насыров Артур Уралович
Котов Вячеслав Сергеевич</v>
      </c>
      <c r="CM19" s="11" t="str">
        <f t="shared" si="60"/>
        <v>Сатка
Тюмень</v>
      </c>
      <c r="CN19" s="11" t="str">
        <f t="shared" si="61"/>
        <v>Прото</v>
      </c>
      <c r="CO19" s="15">
        <f t="shared" si="62"/>
        <v>0</v>
      </c>
      <c r="CP19" s="26">
        <f t="shared" si="63"/>
        <v>0</v>
      </c>
      <c r="CQ19" s="26">
        <f t="shared" si="64"/>
        <v>0</v>
      </c>
      <c r="CR19" s="26">
        <f t="shared" si="65"/>
        <v>0</v>
      </c>
      <c r="CS19" s="15">
        <f t="shared" si="66"/>
        <v>4.7222222222222223E-3</v>
      </c>
      <c r="CT19" s="26">
        <f t="shared" si="67"/>
        <v>0</v>
      </c>
      <c r="CU19" s="26">
        <f t="shared" si="68"/>
        <v>95</v>
      </c>
      <c r="CV19" s="26">
        <f t="shared" si="69"/>
        <v>95</v>
      </c>
      <c r="CW19" s="15">
        <f t="shared" si="70"/>
        <v>0</v>
      </c>
      <c r="CX19" s="26">
        <f t="shared" si="71"/>
        <v>0</v>
      </c>
      <c r="CY19" s="26">
        <f t="shared" si="72"/>
        <v>0</v>
      </c>
      <c r="CZ19" s="26">
        <f t="shared" si="73"/>
        <v>0</v>
      </c>
      <c r="DA19" s="11">
        <f t="shared" si="74"/>
        <v>739</v>
      </c>
    </row>
    <row r="20" spans="1:105" s="6" customFormat="1" ht="45" x14ac:dyDescent="0.25">
      <c r="A20" s="25">
        <v>111</v>
      </c>
      <c r="B20" s="11" t="str">
        <f>VLOOKUP($A20,TAB,2,FALSE)</f>
        <v>Айбазов Анзор Магометович
Хубиев Расул Леонович</v>
      </c>
      <c r="C20" s="11" t="str">
        <f>VLOOKUP($A20,TAB,4,FALSE)</f>
        <v>КМВ
КМВ</v>
      </c>
      <c r="D20" s="11" t="str">
        <f>VLOOKUP($A20,TAB,5,FALSE)</f>
        <v>Прото</v>
      </c>
      <c r="E20" s="75">
        <v>1</v>
      </c>
      <c r="F20" s="26"/>
      <c r="G20" s="26">
        <f>VLOOKUP($A20,TAB,70,FALSE)</f>
        <v>100</v>
      </c>
      <c r="H20" s="26">
        <f>VLOOKUP($A20,TAB,101,FALSE)</f>
        <v>100</v>
      </c>
      <c r="I20" s="69"/>
      <c r="J20" s="70"/>
      <c r="K20" s="70"/>
      <c r="L20" s="70"/>
      <c r="M20" s="71"/>
      <c r="N20" s="70"/>
      <c r="O20" s="70"/>
      <c r="P20" s="70"/>
      <c r="Q20" s="25">
        <v>111</v>
      </c>
      <c r="R20" s="11" t="str">
        <f t="shared" si="0"/>
        <v>Айбазов Анзор Магометович
Хубиев Расул Леонович</v>
      </c>
      <c r="S20" s="11" t="str">
        <f t="shared" si="1"/>
        <v>КМВ
КМВ</v>
      </c>
      <c r="T20" s="11" t="str">
        <f t="shared" si="2"/>
        <v>Прото</v>
      </c>
      <c r="U20" s="15">
        <f>VLOOKUP($Q20,TAB,22,FALSE)</f>
        <v>0</v>
      </c>
      <c r="V20" s="26">
        <f>VLOOKUP($Q20,TAB,52,FALSE)</f>
        <v>0</v>
      </c>
      <c r="W20" s="26">
        <f>VLOOKUP($Q20,TAB,84,FALSE)</f>
        <v>0</v>
      </c>
      <c r="X20" s="26">
        <f>VLOOKUP($Q20,TAB,115,FALSE)</f>
        <v>0</v>
      </c>
      <c r="Y20" s="15">
        <f>VLOOKUP($Q20,TAB,23,FALSE)</f>
        <v>1.9212962962962962E-3</v>
      </c>
      <c r="Z20" s="26">
        <f>VLOOKUP($Q20,TAB,53,FALSE)</f>
        <v>0</v>
      </c>
      <c r="AA20" s="26">
        <f>VLOOKUP($Q20,TAB,85,FALSE)</f>
        <v>100</v>
      </c>
      <c r="AB20" s="26">
        <f>VLOOKUP($Q20,TAB,116,FALSE)</f>
        <v>100</v>
      </c>
      <c r="AC20" s="15">
        <f t="shared" si="3"/>
        <v>0</v>
      </c>
      <c r="AD20" s="26">
        <f t="shared" si="4"/>
        <v>0</v>
      </c>
      <c r="AE20" s="26">
        <f t="shared" si="5"/>
        <v>0</v>
      </c>
      <c r="AF20" s="26">
        <f t="shared" si="6"/>
        <v>0</v>
      </c>
      <c r="AG20" s="15">
        <f t="shared" si="7"/>
        <v>0</v>
      </c>
      <c r="AH20" s="26">
        <f t="shared" si="8"/>
        <v>0</v>
      </c>
      <c r="AI20" s="26">
        <f t="shared" si="9"/>
        <v>0</v>
      </c>
      <c r="AJ20" s="26">
        <f t="shared" si="10"/>
        <v>0</v>
      </c>
      <c r="AK20" s="15">
        <f t="shared" si="11"/>
        <v>3.1185185185185187E-3</v>
      </c>
      <c r="AL20" s="26">
        <f t="shared" si="12"/>
        <v>0</v>
      </c>
      <c r="AM20" s="26">
        <f t="shared" si="13"/>
        <v>100</v>
      </c>
      <c r="AN20" s="26">
        <f t="shared" si="14"/>
        <v>100</v>
      </c>
      <c r="AO20" s="25">
        <v>111</v>
      </c>
      <c r="AP20" s="11" t="str">
        <f t="shared" si="15"/>
        <v>Айбазов Анзор Магометович
Хубиев Расул Леонович</v>
      </c>
      <c r="AQ20" s="11" t="str">
        <f t="shared" si="16"/>
        <v>КМВ
КМВ</v>
      </c>
      <c r="AR20" s="11">
        <f t="shared" si="17"/>
        <v>0</v>
      </c>
      <c r="AS20" s="15">
        <f t="shared" si="18"/>
        <v>0</v>
      </c>
      <c r="AT20" s="26">
        <f t="shared" si="19"/>
        <v>0</v>
      </c>
      <c r="AU20" s="26">
        <f t="shared" si="20"/>
        <v>0</v>
      </c>
      <c r="AV20" s="26">
        <f t="shared" si="21"/>
        <v>0</v>
      </c>
      <c r="AW20" s="15">
        <f t="shared" si="22"/>
        <v>0</v>
      </c>
      <c r="AX20" s="26">
        <f t="shared" si="23"/>
        <v>0</v>
      </c>
      <c r="AY20" s="26">
        <f t="shared" si="24"/>
        <v>0</v>
      </c>
      <c r="AZ20" s="26">
        <f t="shared" si="25"/>
        <v>0</v>
      </c>
      <c r="BA20" s="15" t="str">
        <f t="shared" si="26"/>
        <v>DNF</v>
      </c>
      <c r="BB20" s="26">
        <f t="shared" si="27"/>
        <v>0</v>
      </c>
      <c r="BC20" s="26">
        <f>VLOOKUP($AO20,TAB,91,FALSE)</f>
        <v>20</v>
      </c>
      <c r="BD20" s="26">
        <f t="shared" si="28"/>
        <v>20</v>
      </c>
      <c r="BE20" s="25">
        <v>111</v>
      </c>
      <c r="BF20" s="11" t="str">
        <f t="shared" si="29"/>
        <v>Айбазов Анзор Магометович
Хубиев Расул Леонович</v>
      </c>
      <c r="BG20" s="11" t="str">
        <f t="shared" si="30"/>
        <v>КМВ
КМВ</v>
      </c>
      <c r="BH20" s="11" t="str">
        <f t="shared" si="31"/>
        <v>Прото</v>
      </c>
      <c r="BI20" s="15">
        <f t="shared" si="32"/>
        <v>0</v>
      </c>
      <c r="BJ20" s="26">
        <f t="shared" si="33"/>
        <v>0</v>
      </c>
      <c r="BK20" s="26">
        <f t="shared" si="34"/>
        <v>0</v>
      </c>
      <c r="BL20" s="26">
        <f t="shared" si="35"/>
        <v>0</v>
      </c>
      <c r="BM20" s="15" t="str">
        <f t="shared" si="36"/>
        <v>DNF</v>
      </c>
      <c r="BN20" s="26">
        <f t="shared" si="37"/>
        <v>0</v>
      </c>
      <c r="BO20" s="26">
        <f t="shared" si="38"/>
        <v>20</v>
      </c>
      <c r="BP20" s="26">
        <f t="shared" si="39"/>
        <v>20</v>
      </c>
      <c r="BQ20" s="15">
        <f t="shared" si="40"/>
        <v>0</v>
      </c>
      <c r="BR20" s="26">
        <f t="shared" si="41"/>
        <v>0</v>
      </c>
      <c r="BS20" s="26">
        <f t="shared" si="42"/>
        <v>0</v>
      </c>
      <c r="BT20" s="26">
        <f t="shared" si="43"/>
        <v>0</v>
      </c>
      <c r="BU20" s="25">
        <v>111</v>
      </c>
      <c r="BV20" s="11" t="str">
        <f t="shared" si="44"/>
        <v>Айбазов Анзор Магометович
Хубиев Расул Леонович</v>
      </c>
      <c r="BW20" s="11" t="str">
        <f t="shared" si="45"/>
        <v>КМВ
КМВ</v>
      </c>
      <c r="BX20" s="11" t="str">
        <f t="shared" si="46"/>
        <v>Прото</v>
      </c>
      <c r="BY20" s="15">
        <f t="shared" si="47"/>
        <v>0</v>
      </c>
      <c r="BZ20" s="26">
        <f t="shared" si="48"/>
        <v>0</v>
      </c>
      <c r="CA20" s="26">
        <f t="shared" si="49"/>
        <v>0</v>
      </c>
      <c r="CB20" s="26">
        <f t="shared" si="50"/>
        <v>0</v>
      </c>
      <c r="CC20" s="15">
        <f t="shared" si="51"/>
        <v>2.2337962962962967E-3</v>
      </c>
      <c r="CD20" s="26">
        <f t="shared" si="52"/>
        <v>0</v>
      </c>
      <c r="CE20" s="26">
        <f t="shared" si="53"/>
        <v>100</v>
      </c>
      <c r="CF20" s="26">
        <f t="shared" si="54"/>
        <v>100</v>
      </c>
      <c r="CG20" s="15" t="str">
        <f t="shared" si="55"/>
        <v>DNF</v>
      </c>
      <c r="CH20" s="26">
        <f t="shared" si="56"/>
        <v>0</v>
      </c>
      <c r="CI20" s="26">
        <f t="shared" si="57"/>
        <v>20</v>
      </c>
      <c r="CJ20" s="26">
        <f t="shared" si="58"/>
        <v>20</v>
      </c>
      <c r="CK20" s="25">
        <v>111</v>
      </c>
      <c r="CL20" s="11" t="str">
        <f t="shared" si="59"/>
        <v>Айбазов Анзор Магометович
Хубиев Расул Леонович</v>
      </c>
      <c r="CM20" s="11" t="str">
        <f t="shared" si="60"/>
        <v>КМВ
КМВ</v>
      </c>
      <c r="CN20" s="11" t="str">
        <f t="shared" si="61"/>
        <v>Прото</v>
      </c>
      <c r="CO20" s="15">
        <f t="shared" si="62"/>
        <v>2.488425925925926E-3</v>
      </c>
      <c r="CP20" s="26">
        <f t="shared" si="63"/>
        <v>0</v>
      </c>
      <c r="CQ20" s="26">
        <f t="shared" si="64"/>
        <v>100</v>
      </c>
      <c r="CR20" s="26">
        <f t="shared" si="65"/>
        <v>100</v>
      </c>
      <c r="CS20" s="15">
        <f t="shared" si="66"/>
        <v>0</v>
      </c>
      <c r="CT20" s="26">
        <f t="shared" si="67"/>
        <v>0</v>
      </c>
      <c r="CU20" s="26">
        <f t="shared" si="68"/>
        <v>0</v>
      </c>
      <c r="CV20" s="26">
        <f t="shared" si="69"/>
        <v>0</v>
      </c>
      <c r="CW20" s="15">
        <f t="shared" si="70"/>
        <v>0</v>
      </c>
      <c r="CX20" s="26">
        <f t="shared" si="71"/>
        <v>0</v>
      </c>
      <c r="CY20" s="26">
        <f t="shared" si="72"/>
        <v>0</v>
      </c>
      <c r="CZ20" s="26">
        <f t="shared" si="73"/>
        <v>0</v>
      </c>
      <c r="DA20" s="11">
        <f t="shared" si="74"/>
        <v>560</v>
      </c>
    </row>
    <row r="21" spans="1:105" s="36" customFormat="1" x14ac:dyDescent="0.25">
      <c r="A21" s="32"/>
      <c r="B21" s="33"/>
      <c r="C21" s="33"/>
      <c r="D21" s="33"/>
      <c r="E21" s="34"/>
      <c r="F21" s="35"/>
      <c r="G21" s="35"/>
      <c r="H21" s="35"/>
      <c r="I21" s="34"/>
      <c r="J21" s="35"/>
      <c r="K21" s="35"/>
      <c r="L21" s="35"/>
      <c r="M21" s="34"/>
      <c r="N21" s="35"/>
      <c r="O21" s="35"/>
      <c r="P21" s="35"/>
      <c r="Q21" s="32"/>
      <c r="R21" s="33"/>
      <c r="S21" s="33"/>
      <c r="T21" s="33"/>
      <c r="U21" s="34"/>
      <c r="V21" s="35"/>
      <c r="W21" s="35"/>
      <c r="X21" s="35"/>
      <c r="Y21" s="34"/>
      <c r="Z21" s="35"/>
      <c r="AA21" s="35"/>
      <c r="AB21" s="35"/>
      <c r="AC21" s="34"/>
      <c r="AD21" s="35"/>
      <c r="AE21" s="35"/>
      <c r="AF21" s="35"/>
      <c r="AG21" s="34"/>
      <c r="AH21" s="35"/>
      <c r="AI21" s="35"/>
      <c r="AJ21" s="35"/>
      <c r="AK21" s="34"/>
      <c r="AL21" s="35"/>
      <c r="AM21" s="35"/>
      <c r="AN21" s="35"/>
      <c r="AO21" s="32"/>
      <c r="AP21" s="33"/>
      <c r="AQ21" s="33"/>
      <c r="AR21" s="33"/>
      <c r="AS21" s="34"/>
      <c r="AT21" s="35"/>
      <c r="AU21" s="35"/>
      <c r="AV21" s="35"/>
      <c r="AW21" s="34"/>
      <c r="AX21" s="35"/>
      <c r="AY21" s="35"/>
      <c r="AZ21" s="35"/>
      <c r="BA21" s="34"/>
      <c r="BB21" s="35"/>
      <c r="BC21" s="35"/>
      <c r="BD21" s="35"/>
      <c r="BE21" s="32"/>
      <c r="BF21" s="33"/>
      <c r="BG21" s="33"/>
      <c r="BH21" s="33"/>
      <c r="BI21" s="34"/>
      <c r="BJ21" s="35"/>
      <c r="BK21" s="35"/>
      <c r="BL21" s="35"/>
      <c r="BM21" s="34"/>
      <c r="BN21" s="35"/>
      <c r="BO21" s="35"/>
      <c r="BP21" s="35"/>
      <c r="BQ21" s="34"/>
      <c r="BR21" s="35"/>
      <c r="BS21" s="35"/>
      <c r="BT21" s="35"/>
      <c r="BU21" s="32"/>
      <c r="BV21" s="33"/>
      <c r="BW21" s="33"/>
      <c r="BX21" s="33"/>
      <c r="BY21" s="34"/>
      <c r="BZ21" s="35"/>
      <c r="CA21" s="35"/>
      <c r="CB21" s="35"/>
      <c r="CC21" s="34"/>
      <c r="CD21" s="35"/>
      <c r="CE21" s="35"/>
      <c r="CF21" s="35"/>
      <c r="CG21" s="34"/>
      <c r="CH21" s="35"/>
      <c r="CI21" s="35"/>
      <c r="CJ21" s="35"/>
      <c r="CK21" s="32"/>
      <c r="CL21" s="33"/>
      <c r="CM21" s="33"/>
      <c r="CN21" s="33"/>
      <c r="CO21" s="34"/>
      <c r="CP21" s="35"/>
      <c r="CQ21" s="35"/>
      <c r="CR21" s="35"/>
      <c r="CS21" s="34"/>
      <c r="CT21" s="35"/>
      <c r="CU21" s="35"/>
      <c r="CV21" s="35"/>
      <c r="CW21" s="34"/>
      <c r="CX21" s="35"/>
      <c r="CY21" s="35"/>
      <c r="CZ21" s="35"/>
    </row>
    <row r="22" spans="1:105" s="36" customFormat="1" x14ac:dyDescent="0.25">
      <c r="A22" s="63"/>
      <c r="B22" s="33" t="s">
        <v>357</v>
      </c>
      <c r="C22" s="33"/>
      <c r="D22" s="33"/>
      <c r="E22" s="34"/>
      <c r="F22" s="35"/>
      <c r="G22" s="35"/>
      <c r="H22" s="35"/>
      <c r="I22" s="34"/>
      <c r="J22" s="35"/>
      <c r="K22" s="37" t="s">
        <v>358</v>
      </c>
      <c r="L22" s="35"/>
      <c r="M22" s="34"/>
      <c r="N22" s="35"/>
      <c r="O22" s="35"/>
      <c r="P22" s="35"/>
      <c r="Q22" s="32"/>
      <c r="R22" s="33" t="s">
        <v>357</v>
      </c>
      <c r="S22" s="33"/>
      <c r="T22" s="33"/>
      <c r="U22" s="34"/>
      <c r="V22" s="35"/>
      <c r="W22" s="35"/>
      <c r="X22" s="35"/>
      <c r="Y22" s="34"/>
      <c r="Z22" s="35"/>
      <c r="AA22" s="37" t="s">
        <v>358</v>
      </c>
      <c r="AB22" s="35"/>
      <c r="AC22" s="34"/>
      <c r="AD22" s="35"/>
      <c r="AE22" s="35"/>
      <c r="AF22" s="35"/>
      <c r="AG22" s="34"/>
      <c r="AH22" s="35"/>
      <c r="AI22" s="37"/>
      <c r="AJ22" s="35"/>
      <c r="AK22" s="34"/>
      <c r="AL22" s="35"/>
      <c r="AM22" s="35"/>
      <c r="AN22" s="35"/>
      <c r="AO22" s="32"/>
      <c r="AP22" s="33"/>
      <c r="AQ22" s="33"/>
      <c r="AR22" s="33"/>
      <c r="AS22" s="34"/>
      <c r="AT22" s="35"/>
      <c r="AU22" s="35"/>
      <c r="AV22" s="35"/>
      <c r="AW22" s="34"/>
      <c r="AX22" s="35"/>
      <c r="AY22" s="37"/>
      <c r="AZ22" s="35"/>
      <c r="BA22" s="34"/>
      <c r="BB22" s="35"/>
      <c r="BC22" s="35"/>
      <c r="BD22" s="35"/>
      <c r="BE22" s="32"/>
      <c r="BF22" s="33"/>
      <c r="BG22" s="33"/>
      <c r="BH22" s="33"/>
      <c r="BI22" s="34"/>
      <c r="BJ22" s="35"/>
      <c r="BK22" s="35"/>
      <c r="BL22" s="35"/>
      <c r="BM22" s="34"/>
      <c r="BN22" s="35"/>
      <c r="BO22" s="37"/>
      <c r="BP22" s="35"/>
      <c r="BQ22" s="34"/>
      <c r="BR22" s="35"/>
      <c r="BS22" s="35"/>
      <c r="BT22" s="35"/>
      <c r="BU22" s="32"/>
      <c r="BV22" s="33"/>
      <c r="BW22" s="33"/>
      <c r="BX22" s="33"/>
      <c r="BY22" s="34"/>
      <c r="BZ22" s="35"/>
      <c r="CA22" s="35"/>
      <c r="CB22" s="35"/>
      <c r="CC22" s="34"/>
      <c r="CD22" s="35"/>
      <c r="CE22" s="37"/>
      <c r="CF22" s="35"/>
      <c r="CG22" s="34"/>
      <c r="CH22" s="35"/>
      <c r="CI22" s="35"/>
      <c r="CJ22" s="35"/>
      <c r="CK22" s="32"/>
      <c r="CL22" s="33"/>
      <c r="CM22" s="33"/>
      <c r="CN22" s="33"/>
      <c r="CO22" s="34"/>
      <c r="CP22" s="35"/>
      <c r="CQ22" s="35"/>
      <c r="CR22" s="35"/>
      <c r="CS22" s="34"/>
      <c r="CT22" s="35"/>
      <c r="CU22" s="37"/>
      <c r="CV22" s="35"/>
      <c r="CW22" s="34"/>
      <c r="CX22" s="35"/>
      <c r="CY22" s="35"/>
      <c r="CZ22" s="35"/>
    </row>
    <row r="23" spans="1:105" s="36" customFormat="1" x14ac:dyDescent="0.25">
      <c r="A23" s="63"/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78"/>
      <c r="V23" s="78"/>
      <c r="W23" s="78"/>
      <c r="X23" s="78"/>
      <c r="Y23" s="78"/>
      <c r="Z23" s="78"/>
      <c r="AA23" s="78"/>
      <c r="AB23" s="78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32"/>
      <c r="BF23" s="33"/>
      <c r="BG23" s="33"/>
      <c r="BH23" s="33"/>
      <c r="BI23" s="34"/>
      <c r="BJ23" s="35"/>
      <c r="BK23" s="35"/>
      <c r="BL23" s="35"/>
      <c r="BM23" s="34"/>
      <c r="BN23" s="35"/>
      <c r="BO23" s="35"/>
      <c r="BP23" s="35"/>
      <c r="BQ23" s="34"/>
      <c r="BR23" s="35"/>
      <c r="BS23" s="35"/>
      <c r="BT23" s="35"/>
      <c r="BU23" s="32"/>
      <c r="BV23" s="33"/>
      <c r="BW23" s="33"/>
      <c r="BX23" s="33"/>
      <c r="BY23" s="34"/>
      <c r="BZ23" s="35"/>
      <c r="CA23" s="35"/>
      <c r="CB23" s="35"/>
      <c r="CC23" s="34"/>
      <c r="CD23" s="35"/>
      <c r="CE23" s="35"/>
      <c r="CF23" s="35"/>
      <c r="CG23" s="34"/>
      <c r="CH23" s="35"/>
      <c r="CI23" s="35"/>
      <c r="CJ23" s="35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</row>
    <row r="24" spans="1:105" s="29" customFormat="1" ht="15" customHeight="1" x14ac:dyDescent="0.25">
      <c r="A24" s="63"/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78"/>
      <c r="V24" s="78"/>
      <c r="W24" s="78"/>
      <c r="X24" s="78"/>
      <c r="Y24" s="78"/>
      <c r="Z24" s="78"/>
      <c r="AA24" s="78"/>
      <c r="AB24" s="78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</row>
    <row r="25" spans="1:105" s="29" customFormat="1" x14ac:dyDescent="0.25">
      <c r="A25" s="63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78"/>
      <c r="V25" s="78"/>
      <c r="W25" s="78"/>
      <c r="X25" s="78"/>
      <c r="Y25" s="78"/>
      <c r="Z25" s="78"/>
      <c r="AA25" s="78"/>
      <c r="AB25" s="78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</row>
    <row r="26" spans="1:105" s="6" customFormat="1" x14ac:dyDescent="0.25">
      <c r="A26" s="63"/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78"/>
      <c r="V26" s="78"/>
      <c r="W26" s="78"/>
      <c r="X26" s="78"/>
      <c r="Y26" s="78"/>
      <c r="Z26" s="78"/>
      <c r="AA26" s="78"/>
      <c r="AB26" s="78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</row>
    <row r="27" spans="1:105" s="6" customFormat="1" x14ac:dyDescent="0.25">
      <c r="A27" s="63"/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78"/>
      <c r="V27" s="78"/>
      <c r="W27" s="78"/>
      <c r="X27" s="78"/>
      <c r="Y27" s="78"/>
      <c r="Z27" s="78"/>
      <c r="AA27" s="78"/>
      <c r="AB27" s="78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</row>
    <row r="28" spans="1:105" s="6" customFormat="1" x14ac:dyDescent="0.25">
      <c r="A28" s="63"/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78"/>
      <c r="V28" s="78"/>
      <c r="W28" s="78"/>
      <c r="X28" s="78"/>
      <c r="Y28" s="78"/>
      <c r="Z28" s="78"/>
      <c r="AA28" s="78"/>
      <c r="AB28" s="78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</row>
    <row r="29" spans="1:105" s="6" customFormat="1" x14ac:dyDescent="0.25">
      <c r="A29" s="63"/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78"/>
      <c r="V29" s="78"/>
      <c r="W29" s="78"/>
      <c r="X29" s="78"/>
      <c r="Y29" s="78"/>
      <c r="Z29" s="78"/>
      <c r="AA29" s="78"/>
      <c r="AB29" s="78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</row>
    <row r="30" spans="1:105" s="6" customFormat="1" x14ac:dyDescent="0.25">
      <c r="A30" s="63"/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78"/>
      <c r="V30" s="78"/>
      <c r="W30" s="78"/>
      <c r="X30" s="78"/>
      <c r="Y30" s="78"/>
      <c r="Z30" s="78"/>
      <c r="AA30" s="78"/>
      <c r="AB30" s="78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</row>
    <row r="31" spans="1:105" s="6" customFormat="1" x14ac:dyDescent="0.25">
      <c r="A31" s="63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78"/>
      <c r="V31" s="78"/>
      <c r="W31" s="78"/>
      <c r="X31" s="78"/>
      <c r="Y31" s="78"/>
      <c r="Z31" s="78"/>
      <c r="AA31" s="78"/>
      <c r="AB31" s="78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</row>
    <row r="32" spans="1:105" s="6" customFormat="1" x14ac:dyDescent="0.25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78"/>
      <c r="V32" s="78"/>
      <c r="W32" s="78"/>
      <c r="X32" s="78"/>
      <c r="Y32" s="78"/>
      <c r="Z32" s="78"/>
      <c r="AA32" s="78"/>
      <c r="AB32" s="78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</row>
    <row r="33" spans="1:104" s="6" customFormat="1" x14ac:dyDescent="0.25">
      <c r="A33" s="63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78"/>
      <c r="V33" s="78"/>
      <c r="W33" s="78"/>
      <c r="X33" s="78"/>
      <c r="Y33" s="78"/>
      <c r="Z33" s="78"/>
      <c r="AA33" s="78"/>
      <c r="AB33" s="78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</row>
    <row r="34" spans="1:104" s="6" customFormat="1" x14ac:dyDescent="0.25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78"/>
      <c r="V34" s="78"/>
      <c r="W34" s="78"/>
      <c r="X34" s="78"/>
      <c r="Y34" s="78"/>
      <c r="Z34" s="78"/>
      <c r="AA34" s="78"/>
      <c r="AB34" s="78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</row>
    <row r="35" spans="1:104" s="6" customFormat="1" x14ac:dyDescent="0.25">
      <c r="A35" s="63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78"/>
      <c r="V35" s="78"/>
      <c r="W35" s="78"/>
      <c r="X35" s="78"/>
      <c r="Y35" s="78"/>
      <c r="Z35" s="78"/>
      <c r="AA35" s="78"/>
      <c r="AB35" s="78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</row>
    <row r="36" spans="1:104" s="6" customFormat="1" x14ac:dyDescent="0.25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78"/>
      <c r="V36" s="78"/>
      <c r="W36" s="78"/>
      <c r="X36" s="78"/>
      <c r="Y36" s="78"/>
      <c r="Z36" s="78"/>
      <c r="AA36" s="78"/>
      <c r="AB36" s="78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</row>
    <row r="37" spans="1:104" s="6" customFormat="1" x14ac:dyDescent="0.25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78"/>
      <c r="V37" s="78"/>
      <c r="W37" s="78"/>
      <c r="X37" s="78"/>
      <c r="Y37" s="78"/>
      <c r="Z37" s="78"/>
      <c r="AA37" s="78"/>
      <c r="AB37" s="78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</row>
    <row r="38" spans="1:104" s="6" customFormat="1" x14ac:dyDescent="0.25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78"/>
      <c r="V38" s="78"/>
      <c r="W38" s="78"/>
      <c r="X38" s="78"/>
      <c r="Y38" s="78"/>
      <c r="Z38" s="78"/>
      <c r="AA38" s="78"/>
      <c r="AB38" s="78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</row>
    <row r="39" spans="1:104" s="6" customFormat="1" x14ac:dyDescent="0.25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78"/>
      <c r="V39" s="78"/>
      <c r="W39" s="78"/>
      <c r="X39" s="78"/>
      <c r="Y39" s="78"/>
      <c r="Z39" s="78"/>
      <c r="AA39" s="78"/>
      <c r="AB39" s="78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</row>
    <row r="40" spans="1:104" s="6" customForma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78"/>
      <c r="V40" s="78"/>
      <c r="W40" s="78"/>
      <c r="X40" s="78"/>
      <c r="Y40" s="78"/>
      <c r="Z40" s="78"/>
      <c r="AA40" s="78"/>
      <c r="AB40" s="78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</row>
    <row r="41" spans="1:104" s="36" customFormat="1" ht="10.5" customHeight="1" x14ac:dyDescent="0.25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78"/>
      <c r="V41" s="78"/>
      <c r="W41" s="78"/>
      <c r="X41" s="78"/>
      <c r="Y41" s="78"/>
      <c r="Z41" s="78"/>
      <c r="AA41" s="78"/>
      <c r="AB41" s="78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</row>
    <row r="42" spans="1:104" s="36" customFormat="1" x14ac:dyDescent="0.25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78"/>
      <c r="V42" s="78"/>
      <c r="W42" s="78"/>
      <c r="X42" s="78"/>
      <c r="Y42" s="78"/>
      <c r="Z42" s="78"/>
      <c r="AA42" s="78"/>
      <c r="AB42" s="78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</row>
    <row r="43" spans="1:104" s="36" customFormat="1" x14ac:dyDescent="0.25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78"/>
      <c r="V43" s="78"/>
      <c r="W43" s="78"/>
      <c r="X43" s="78"/>
      <c r="Y43" s="78"/>
      <c r="Z43" s="78"/>
      <c r="AA43" s="78"/>
      <c r="AB43" s="78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</row>
    <row r="44" spans="1:104" s="29" customFormat="1" ht="15" customHeight="1" x14ac:dyDescent="0.25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78"/>
      <c r="V44" s="78"/>
      <c r="W44" s="78"/>
      <c r="X44" s="78"/>
      <c r="Y44" s="78"/>
      <c r="Z44" s="78"/>
      <c r="AA44" s="78"/>
      <c r="AB44" s="78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</row>
    <row r="45" spans="1:104" s="29" customFormat="1" x14ac:dyDescent="0.25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78"/>
      <c r="V45" s="78"/>
      <c r="W45" s="78"/>
      <c r="X45" s="78"/>
      <c r="Y45" s="78"/>
      <c r="Z45" s="78"/>
      <c r="AA45" s="78"/>
      <c r="AB45" s="78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</row>
    <row r="46" spans="1:104" s="6" customFormat="1" x14ac:dyDescent="0.25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78"/>
      <c r="V46" s="78"/>
      <c r="W46" s="78"/>
      <c r="X46" s="78"/>
      <c r="Y46" s="78"/>
      <c r="Z46" s="78"/>
      <c r="AA46" s="78"/>
      <c r="AB46" s="78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</row>
    <row r="47" spans="1:104" s="6" customFormat="1" x14ac:dyDescent="0.25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78"/>
      <c r="V47" s="78"/>
      <c r="W47" s="78"/>
      <c r="X47" s="78"/>
      <c r="Y47" s="78"/>
      <c r="Z47" s="78"/>
      <c r="AA47" s="78"/>
      <c r="AB47" s="78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</row>
    <row r="48" spans="1:104" s="6" customFormat="1" x14ac:dyDescent="0.25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78"/>
      <c r="V48" s="78"/>
      <c r="W48" s="78"/>
      <c r="X48" s="78"/>
      <c r="Y48" s="78"/>
      <c r="Z48" s="78"/>
      <c r="AA48" s="78"/>
      <c r="AB48" s="78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</row>
    <row r="49" spans="1:104" s="6" customFormat="1" x14ac:dyDescent="0.25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78"/>
      <c r="V49" s="78"/>
      <c r="W49" s="78"/>
      <c r="X49" s="78"/>
      <c r="Y49" s="78"/>
      <c r="Z49" s="78"/>
      <c r="AA49" s="78"/>
      <c r="AB49" s="78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</row>
    <row r="50" spans="1:104" s="6" customFormat="1" x14ac:dyDescent="0.25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78"/>
      <c r="V50" s="78"/>
      <c r="W50" s="78"/>
      <c r="X50" s="78"/>
      <c r="Y50" s="78"/>
      <c r="Z50" s="78"/>
      <c r="AA50" s="78"/>
      <c r="AB50" s="78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</row>
    <row r="51" spans="1:104" s="6" customFormat="1" x14ac:dyDescent="0.25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78"/>
      <c r="V51" s="78"/>
      <c r="W51" s="78"/>
      <c r="X51" s="78"/>
      <c r="Y51" s="78"/>
      <c r="Z51" s="78"/>
      <c r="AA51" s="78"/>
      <c r="AB51" s="78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</row>
    <row r="52" spans="1:104" s="6" customFormat="1" x14ac:dyDescent="0.25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78"/>
      <c r="V52" s="78"/>
      <c r="W52" s="78"/>
      <c r="X52" s="78"/>
      <c r="Y52" s="78"/>
      <c r="Z52" s="78"/>
      <c r="AA52" s="78"/>
      <c r="AB52" s="78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</row>
    <row r="53" spans="1:104" s="6" customFormat="1" x14ac:dyDescent="0.25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78"/>
      <c r="V53" s="78"/>
      <c r="W53" s="78"/>
      <c r="X53" s="78"/>
      <c r="Y53" s="78"/>
      <c r="Z53" s="78"/>
      <c r="AA53" s="78"/>
      <c r="AB53" s="78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</row>
    <row r="54" spans="1:104" s="6" customFormat="1" x14ac:dyDescent="0.25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78"/>
      <c r="V54" s="78"/>
      <c r="W54" s="78"/>
      <c r="X54" s="78"/>
      <c r="Y54" s="78"/>
      <c r="Z54" s="78"/>
      <c r="AA54" s="78"/>
      <c r="AB54" s="78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</row>
    <row r="55" spans="1:104" s="6" customFormat="1" x14ac:dyDescent="0.25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78"/>
      <c r="V55" s="78"/>
      <c r="W55" s="78"/>
      <c r="X55" s="78"/>
      <c r="Y55" s="78"/>
      <c r="Z55" s="78"/>
      <c r="AA55" s="78"/>
      <c r="AB55" s="78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</row>
    <row r="56" spans="1:104" s="6" customFormat="1" x14ac:dyDescent="0.25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78"/>
      <c r="V56" s="78"/>
      <c r="W56" s="78"/>
      <c r="X56" s="78"/>
      <c r="Y56" s="78"/>
      <c r="Z56" s="78"/>
      <c r="AA56" s="78"/>
      <c r="AB56" s="78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</row>
    <row r="57" spans="1:104" s="6" customFormat="1" x14ac:dyDescent="0.25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78"/>
      <c r="V57" s="78"/>
      <c r="W57" s="78"/>
      <c r="X57" s="78"/>
      <c r="Y57" s="78"/>
      <c r="Z57" s="78"/>
      <c r="AA57" s="78"/>
      <c r="AB57" s="78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</row>
    <row r="58" spans="1:104" s="6" customFormat="1" x14ac:dyDescent="0.25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78"/>
      <c r="V58" s="78"/>
      <c r="W58" s="78"/>
      <c r="X58" s="78"/>
      <c r="Y58" s="78"/>
      <c r="Z58" s="78"/>
      <c r="AA58" s="78"/>
      <c r="AB58" s="78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</row>
    <row r="59" spans="1:104" s="6" customFormat="1" x14ac:dyDescent="0.25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78"/>
      <c r="V59" s="78"/>
      <c r="W59" s="78"/>
      <c r="X59" s="78"/>
      <c r="Y59" s="78"/>
      <c r="Z59" s="78"/>
      <c r="AA59" s="78"/>
      <c r="AB59" s="78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</row>
    <row r="60" spans="1:104" s="6" customFormat="1" x14ac:dyDescent="0.25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78"/>
      <c r="V60" s="78"/>
      <c r="W60" s="78"/>
      <c r="X60" s="78"/>
      <c r="Y60" s="78"/>
      <c r="Z60" s="78"/>
      <c r="AA60" s="78"/>
      <c r="AB60" s="78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</row>
    <row r="61" spans="1:104" s="36" customFormat="1" ht="10.5" customHeight="1" x14ac:dyDescent="0.25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78"/>
      <c r="V61" s="78"/>
      <c r="W61" s="78"/>
      <c r="X61" s="78"/>
      <c r="Y61" s="78"/>
      <c r="Z61" s="78"/>
      <c r="AA61" s="78"/>
      <c r="AB61" s="78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</row>
    <row r="62" spans="1:104" s="36" customFormat="1" x14ac:dyDescent="0.25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78"/>
      <c r="V62" s="78"/>
      <c r="W62" s="78"/>
      <c r="X62" s="78"/>
      <c r="Y62" s="78"/>
      <c r="Z62" s="78"/>
      <c r="AA62" s="78"/>
      <c r="AB62" s="78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</row>
    <row r="63" spans="1:104" s="36" customFormat="1" x14ac:dyDescent="0.25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78"/>
      <c r="V63" s="78"/>
      <c r="W63" s="78"/>
      <c r="X63" s="78"/>
      <c r="Y63" s="78"/>
      <c r="Z63" s="78"/>
      <c r="AA63" s="78"/>
      <c r="AB63" s="78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</row>
    <row r="64" spans="1:104" s="29" customFormat="1" ht="15" customHeight="1" x14ac:dyDescent="0.25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78"/>
      <c r="V64" s="78"/>
      <c r="W64" s="78"/>
      <c r="X64" s="78"/>
      <c r="Y64" s="78"/>
      <c r="Z64" s="78"/>
      <c r="AA64" s="78"/>
      <c r="AB64" s="78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</row>
    <row r="65" spans="1:104" s="29" customFormat="1" x14ac:dyDescent="0.25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78"/>
      <c r="V65" s="78"/>
      <c r="W65" s="78"/>
      <c r="X65" s="78"/>
      <c r="Y65" s="78"/>
      <c r="Z65" s="78"/>
      <c r="AA65" s="78"/>
      <c r="AB65" s="78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</row>
    <row r="66" spans="1:104" s="6" customFormat="1" x14ac:dyDescent="0.25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78"/>
      <c r="V66" s="78"/>
      <c r="W66" s="78"/>
      <c r="X66" s="78"/>
      <c r="Y66" s="78"/>
      <c r="Z66" s="78"/>
      <c r="AA66" s="78"/>
      <c r="AB66" s="78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</row>
    <row r="67" spans="1:104" s="6" customFormat="1" x14ac:dyDescent="0.25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78"/>
      <c r="V67" s="78"/>
      <c r="W67" s="78"/>
      <c r="X67" s="78"/>
      <c r="Y67" s="78"/>
      <c r="Z67" s="78"/>
      <c r="AA67" s="78"/>
      <c r="AB67" s="78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</row>
    <row r="68" spans="1:104" s="6" customFormat="1" x14ac:dyDescent="0.25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78"/>
      <c r="V68" s="78"/>
      <c r="W68" s="78"/>
      <c r="X68" s="78"/>
      <c r="Y68" s="78"/>
      <c r="Z68" s="78"/>
      <c r="AA68" s="78"/>
      <c r="AB68" s="78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</row>
    <row r="69" spans="1:104" s="6" customFormat="1" x14ac:dyDescent="0.25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78"/>
      <c r="V69" s="78"/>
      <c r="W69" s="78"/>
      <c r="X69" s="78"/>
      <c r="Y69" s="78"/>
      <c r="Z69" s="78"/>
      <c r="AA69" s="78"/>
      <c r="AB69" s="78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</row>
    <row r="70" spans="1:104" s="6" customFormat="1" x14ac:dyDescent="0.25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78"/>
      <c r="V70" s="78"/>
      <c r="W70" s="78"/>
      <c r="X70" s="78"/>
      <c r="Y70" s="78"/>
      <c r="Z70" s="78"/>
      <c r="AA70" s="78"/>
      <c r="AB70" s="78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</row>
    <row r="71" spans="1:104" s="6" customFormat="1" x14ac:dyDescent="0.25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78"/>
      <c r="V71" s="78"/>
      <c r="W71" s="78"/>
      <c r="X71" s="78"/>
      <c r="Y71" s="78"/>
      <c r="Z71" s="78"/>
      <c r="AA71" s="78"/>
      <c r="AB71" s="78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</row>
    <row r="72" spans="1:104" s="6" customFormat="1" x14ac:dyDescent="0.25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78"/>
      <c r="V72" s="78"/>
      <c r="W72" s="78"/>
      <c r="X72" s="78"/>
      <c r="Y72" s="78"/>
      <c r="Z72" s="78"/>
      <c r="AA72" s="78"/>
      <c r="AB72" s="78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</row>
    <row r="73" spans="1:104" s="6" customFormat="1" x14ac:dyDescent="0.25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78"/>
      <c r="V73" s="78"/>
      <c r="W73" s="78"/>
      <c r="X73" s="78"/>
      <c r="Y73" s="78"/>
      <c r="Z73" s="78"/>
      <c r="AA73" s="78"/>
      <c r="AB73" s="78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</row>
    <row r="74" spans="1:104" s="6" customFormat="1" x14ac:dyDescent="0.25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78"/>
      <c r="V74" s="78"/>
      <c r="W74" s="78"/>
      <c r="X74" s="78"/>
      <c r="Y74" s="78"/>
      <c r="Z74" s="78"/>
      <c r="AA74" s="78"/>
      <c r="AB74" s="78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</row>
    <row r="75" spans="1:104" s="6" customFormat="1" x14ac:dyDescent="0.25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78"/>
      <c r="V75" s="78"/>
      <c r="W75" s="78"/>
      <c r="X75" s="78"/>
      <c r="Y75" s="78"/>
      <c r="Z75" s="78"/>
      <c r="AA75" s="78"/>
      <c r="AB75" s="78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</row>
    <row r="76" spans="1:104" s="6" customFormat="1" x14ac:dyDescent="0.25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78"/>
      <c r="V76" s="78"/>
      <c r="W76" s="78"/>
      <c r="X76" s="78"/>
      <c r="Y76" s="78"/>
      <c r="Z76" s="78"/>
      <c r="AA76" s="78"/>
      <c r="AB76" s="78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</row>
    <row r="77" spans="1:104" s="6" customFormat="1" x14ac:dyDescent="0.25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78"/>
      <c r="V77" s="78"/>
      <c r="W77" s="78"/>
      <c r="X77" s="78"/>
      <c r="Y77" s="78"/>
      <c r="Z77" s="78"/>
      <c r="AA77" s="78"/>
      <c r="AB77" s="78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</row>
    <row r="78" spans="1:104" s="6" customFormat="1" x14ac:dyDescent="0.25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78"/>
      <c r="V78" s="78"/>
      <c r="W78" s="78"/>
      <c r="X78" s="78"/>
      <c r="Y78" s="78"/>
      <c r="Z78" s="78"/>
      <c r="AA78" s="78"/>
      <c r="AB78" s="78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</row>
    <row r="79" spans="1:104" s="6" customFormat="1" x14ac:dyDescent="0.25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78"/>
      <c r="V79" s="78"/>
      <c r="W79" s="78"/>
      <c r="X79" s="78"/>
      <c r="Y79" s="78"/>
      <c r="Z79" s="78"/>
      <c r="AA79" s="78"/>
      <c r="AB79" s="78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</row>
    <row r="80" spans="1:104" s="6" customFormat="1" x14ac:dyDescent="0.25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78"/>
      <c r="V80" s="78"/>
      <c r="W80" s="78"/>
      <c r="X80" s="78"/>
      <c r="Y80" s="78"/>
      <c r="Z80" s="78"/>
      <c r="AA80" s="78"/>
      <c r="AB80" s="78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</row>
    <row r="81" spans="1:104" s="36" customFormat="1" ht="8.25" customHeight="1" x14ac:dyDescent="0.25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78"/>
      <c r="V81" s="78"/>
      <c r="W81" s="78"/>
      <c r="X81" s="78"/>
      <c r="Y81" s="78"/>
      <c r="Z81" s="78"/>
      <c r="AA81" s="78"/>
      <c r="AB81" s="78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</row>
    <row r="82" spans="1:104" s="36" customFormat="1" x14ac:dyDescent="0.25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78"/>
      <c r="V82" s="78"/>
      <c r="W82" s="78"/>
      <c r="X82" s="78"/>
      <c r="Y82" s="78"/>
      <c r="Z82" s="78"/>
      <c r="AA82" s="78"/>
      <c r="AB82" s="78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</row>
    <row r="83" spans="1:104" s="36" customFormat="1" x14ac:dyDescent="0.25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78"/>
      <c r="V83" s="78"/>
      <c r="W83" s="78"/>
      <c r="X83" s="78"/>
      <c r="Y83" s="78"/>
      <c r="Z83" s="78"/>
      <c r="AA83" s="78"/>
      <c r="AB83" s="78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</row>
    <row r="84" spans="1:104" s="29" customFormat="1" ht="15" customHeight="1" x14ac:dyDescent="0.25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78"/>
      <c r="V84" s="78"/>
      <c r="W84" s="78"/>
      <c r="X84" s="78"/>
      <c r="Y84" s="78"/>
      <c r="Z84" s="78"/>
      <c r="AA84" s="78"/>
      <c r="AB84" s="78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</row>
    <row r="85" spans="1:104" s="29" customFormat="1" x14ac:dyDescent="0.25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78"/>
      <c r="V85" s="78"/>
      <c r="W85" s="78"/>
      <c r="X85" s="78"/>
      <c r="Y85" s="78"/>
      <c r="Z85" s="78"/>
      <c r="AA85" s="78"/>
      <c r="AB85" s="78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</row>
    <row r="86" spans="1:104" s="6" customFormat="1" x14ac:dyDescent="0.25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78"/>
      <c r="V86" s="78"/>
      <c r="W86" s="78"/>
      <c r="X86" s="78"/>
      <c r="Y86" s="78"/>
      <c r="Z86" s="78"/>
      <c r="AA86" s="78"/>
      <c r="AB86" s="78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</row>
    <row r="87" spans="1:104" s="6" customFormat="1" x14ac:dyDescent="0.25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78"/>
      <c r="V87" s="78"/>
      <c r="W87" s="78"/>
      <c r="X87" s="78"/>
      <c r="Y87" s="78"/>
      <c r="Z87" s="78"/>
      <c r="AA87" s="78"/>
      <c r="AB87" s="78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</row>
    <row r="88" spans="1:104" s="6" customFormat="1" x14ac:dyDescent="0.25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78"/>
      <c r="V88" s="78"/>
      <c r="W88" s="78"/>
      <c r="X88" s="78"/>
      <c r="Y88" s="78"/>
      <c r="Z88" s="78"/>
      <c r="AA88" s="78"/>
      <c r="AB88" s="78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</row>
    <row r="89" spans="1:104" s="6" customFormat="1" x14ac:dyDescent="0.25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78"/>
      <c r="V89" s="78"/>
      <c r="W89" s="78"/>
      <c r="X89" s="78"/>
      <c r="Y89" s="78"/>
      <c r="Z89" s="78"/>
      <c r="AA89" s="78"/>
      <c r="AB89" s="78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</row>
    <row r="90" spans="1:104" s="6" customFormat="1" x14ac:dyDescent="0.25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78"/>
      <c r="V90" s="78"/>
      <c r="W90" s="78"/>
      <c r="X90" s="78"/>
      <c r="Y90" s="78"/>
      <c r="Z90" s="78"/>
      <c r="AA90" s="78"/>
      <c r="AB90" s="78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63"/>
      <c r="BX90" s="63"/>
      <c r="BY90" s="63"/>
      <c r="BZ90" s="63"/>
      <c r="CA90" s="63"/>
      <c r="CB90" s="63"/>
      <c r="CC90" s="63"/>
      <c r="CD90" s="63"/>
      <c r="CE90" s="63"/>
      <c r="CF90" s="63"/>
      <c r="CG90" s="63"/>
      <c r="CH90" s="63"/>
      <c r="CI90" s="63"/>
      <c r="CJ90" s="63"/>
      <c r="CK90" s="63"/>
      <c r="CL90" s="63"/>
      <c r="CM90" s="63"/>
      <c r="CN90" s="63"/>
      <c r="CO90" s="63"/>
      <c r="CP90" s="63"/>
      <c r="CQ90" s="63"/>
      <c r="CR90" s="63"/>
      <c r="CS90" s="63"/>
      <c r="CT90" s="63"/>
      <c r="CU90" s="63"/>
      <c r="CV90" s="63"/>
      <c r="CW90" s="63"/>
      <c r="CX90" s="63"/>
      <c r="CY90" s="63"/>
      <c r="CZ90" s="63"/>
    </row>
    <row r="91" spans="1:104" s="6" customFormat="1" x14ac:dyDescent="0.25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78"/>
      <c r="V91" s="78"/>
      <c r="W91" s="78"/>
      <c r="X91" s="78"/>
      <c r="Y91" s="78"/>
      <c r="Z91" s="78"/>
      <c r="AA91" s="78"/>
      <c r="AB91" s="78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3"/>
      <c r="CW91" s="63"/>
      <c r="CX91" s="63"/>
      <c r="CY91" s="63"/>
      <c r="CZ91" s="63"/>
    </row>
    <row r="92" spans="1:104" s="6" customFormat="1" x14ac:dyDescent="0.25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78"/>
      <c r="V92" s="78"/>
      <c r="W92" s="78"/>
      <c r="X92" s="78"/>
      <c r="Y92" s="78"/>
      <c r="Z92" s="78"/>
      <c r="AA92" s="78"/>
      <c r="AB92" s="78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63"/>
      <c r="CF92" s="63"/>
      <c r="CG92" s="63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  <c r="CS92" s="63"/>
      <c r="CT92" s="63"/>
      <c r="CU92" s="63"/>
      <c r="CV92" s="63"/>
      <c r="CW92" s="63"/>
      <c r="CX92" s="63"/>
      <c r="CY92" s="63"/>
      <c r="CZ92" s="63"/>
    </row>
    <row r="93" spans="1:104" s="6" customFormat="1" x14ac:dyDescent="0.25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78"/>
      <c r="V93" s="78"/>
      <c r="W93" s="78"/>
      <c r="X93" s="78"/>
      <c r="Y93" s="78"/>
      <c r="Z93" s="78"/>
      <c r="AA93" s="78"/>
      <c r="AB93" s="78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63"/>
      <c r="CF93" s="63"/>
      <c r="CG93" s="63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  <c r="CS93" s="63"/>
      <c r="CT93" s="63"/>
      <c r="CU93" s="63"/>
      <c r="CV93" s="63"/>
      <c r="CW93" s="63"/>
      <c r="CX93" s="63"/>
      <c r="CY93" s="63"/>
      <c r="CZ93" s="63"/>
    </row>
    <row r="94" spans="1:104" s="6" customFormat="1" x14ac:dyDescent="0.25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78"/>
      <c r="V94" s="78"/>
      <c r="W94" s="78"/>
      <c r="X94" s="78"/>
      <c r="Y94" s="78"/>
      <c r="Z94" s="78"/>
      <c r="AA94" s="78"/>
      <c r="AB94" s="78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63"/>
      <c r="BR94" s="63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63"/>
      <c r="CE94" s="63"/>
      <c r="CF94" s="63"/>
      <c r="CG94" s="63"/>
      <c r="CH94" s="63"/>
      <c r="CI94" s="63"/>
      <c r="CJ94" s="63"/>
      <c r="CK94" s="63"/>
      <c r="CL94" s="63"/>
      <c r="CM94" s="63"/>
      <c r="CN94" s="63"/>
      <c r="CO94" s="63"/>
      <c r="CP94" s="63"/>
      <c r="CQ94" s="63"/>
      <c r="CR94" s="63"/>
      <c r="CS94" s="63"/>
      <c r="CT94" s="63"/>
      <c r="CU94" s="63"/>
      <c r="CV94" s="63"/>
      <c r="CW94" s="63"/>
      <c r="CX94" s="63"/>
      <c r="CY94" s="63"/>
      <c r="CZ94" s="63"/>
    </row>
    <row r="95" spans="1:104" s="6" customFormat="1" x14ac:dyDescent="0.2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78"/>
      <c r="V95" s="78"/>
      <c r="W95" s="78"/>
      <c r="X95" s="78"/>
      <c r="Y95" s="78"/>
      <c r="Z95" s="78"/>
      <c r="AA95" s="78"/>
      <c r="AB95" s="78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  <c r="CA95" s="63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  <c r="CS95" s="63"/>
      <c r="CT95" s="63"/>
      <c r="CU95" s="63"/>
      <c r="CV95" s="63"/>
      <c r="CW95" s="63"/>
      <c r="CX95" s="63"/>
      <c r="CY95" s="63"/>
      <c r="CZ95" s="63"/>
    </row>
    <row r="96" spans="1:104" s="6" customFormat="1" x14ac:dyDescent="0.25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78"/>
      <c r="V96" s="78"/>
      <c r="W96" s="78"/>
      <c r="X96" s="78"/>
      <c r="Y96" s="78"/>
      <c r="Z96" s="78"/>
      <c r="AA96" s="78"/>
      <c r="AB96" s="78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  <c r="BW96" s="63"/>
      <c r="BX96" s="63"/>
      <c r="BY96" s="63"/>
      <c r="BZ96" s="63"/>
      <c r="CA96" s="63"/>
      <c r="CB96" s="63"/>
      <c r="CC96" s="63"/>
      <c r="CD96" s="63"/>
      <c r="CE96" s="63"/>
      <c r="CF96" s="63"/>
      <c r="CG96" s="63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3"/>
      <c r="CW96" s="63"/>
      <c r="CX96" s="63"/>
      <c r="CY96" s="63"/>
      <c r="CZ96" s="63"/>
    </row>
    <row r="97" spans="1:104" s="6" customFormat="1" x14ac:dyDescent="0.25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78"/>
      <c r="V97" s="78"/>
      <c r="W97" s="78"/>
      <c r="X97" s="78"/>
      <c r="Y97" s="78"/>
      <c r="Z97" s="78"/>
      <c r="AA97" s="78"/>
      <c r="AB97" s="78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</row>
    <row r="98" spans="1:104" s="6" customFormat="1" x14ac:dyDescent="0.25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78"/>
      <c r="V98" s="78"/>
      <c r="W98" s="78"/>
      <c r="X98" s="78"/>
      <c r="Y98" s="78"/>
      <c r="Z98" s="78"/>
      <c r="AA98" s="78"/>
      <c r="AB98" s="78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</row>
    <row r="99" spans="1:104" s="6" customFormat="1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78"/>
      <c r="V99" s="78"/>
      <c r="W99" s="78"/>
      <c r="X99" s="78"/>
      <c r="Y99" s="78"/>
      <c r="Z99" s="78"/>
      <c r="AA99" s="78"/>
      <c r="AB99" s="78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BY99" s="63"/>
      <c r="BZ99" s="63"/>
      <c r="CA99" s="63"/>
      <c r="CB99" s="63"/>
      <c r="CC99" s="63"/>
      <c r="CD99" s="63"/>
      <c r="CE99" s="63"/>
      <c r="CF99" s="63"/>
      <c r="CG99" s="63"/>
      <c r="CH99" s="63"/>
      <c r="CI99" s="63"/>
      <c r="CJ99" s="63"/>
      <c r="CK99" s="63"/>
      <c r="CL99" s="63"/>
      <c r="CM99" s="63"/>
      <c r="CN99" s="63"/>
      <c r="CO99" s="63"/>
      <c r="CP99" s="63"/>
      <c r="CQ99" s="63"/>
      <c r="CR99" s="63"/>
      <c r="CS99" s="63"/>
      <c r="CT99" s="63"/>
      <c r="CU99" s="63"/>
      <c r="CV99" s="63"/>
      <c r="CW99" s="63"/>
      <c r="CX99" s="63"/>
      <c r="CY99" s="63"/>
      <c r="CZ99" s="63"/>
    </row>
    <row r="100" spans="1:104" s="6" customFormat="1" x14ac:dyDescent="0.25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78"/>
      <c r="V100" s="78"/>
      <c r="W100" s="78"/>
      <c r="X100" s="78"/>
      <c r="Y100" s="78"/>
      <c r="Z100" s="78"/>
      <c r="AA100" s="78"/>
      <c r="AB100" s="78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63"/>
      <c r="BO100" s="63"/>
      <c r="BP100" s="63"/>
      <c r="BQ100" s="63"/>
      <c r="BR100" s="63"/>
      <c r="BS100" s="63"/>
      <c r="BT100" s="63"/>
      <c r="BU100" s="63"/>
      <c r="BV100" s="63"/>
      <c r="BW100" s="63"/>
      <c r="BX100" s="63"/>
      <c r="BY100" s="63"/>
      <c r="BZ100" s="63"/>
      <c r="CA100" s="63"/>
      <c r="CB100" s="63"/>
      <c r="CC100" s="63"/>
      <c r="CD100" s="63"/>
      <c r="CE100" s="63"/>
      <c r="CF100" s="63"/>
      <c r="CG100" s="63"/>
      <c r="CH100" s="63"/>
      <c r="CI100" s="63"/>
      <c r="CJ100" s="63"/>
      <c r="CK100" s="63"/>
      <c r="CL100" s="63"/>
      <c r="CM100" s="63"/>
      <c r="CN100" s="63"/>
      <c r="CO100" s="63"/>
      <c r="CP100" s="63"/>
      <c r="CQ100" s="63"/>
      <c r="CR100" s="63"/>
      <c r="CS100" s="63"/>
      <c r="CT100" s="63"/>
      <c r="CU100" s="63"/>
      <c r="CV100" s="63"/>
      <c r="CW100" s="63"/>
      <c r="CX100" s="63"/>
      <c r="CY100" s="63"/>
      <c r="CZ100" s="63"/>
    </row>
    <row r="101" spans="1:104" s="36" customFormat="1" ht="8.25" customHeight="1" x14ac:dyDescent="0.25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78"/>
      <c r="V101" s="78"/>
      <c r="W101" s="78"/>
      <c r="X101" s="78"/>
      <c r="Y101" s="78"/>
      <c r="Z101" s="78"/>
      <c r="AA101" s="78"/>
      <c r="AB101" s="78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63"/>
      <c r="BO101" s="63"/>
      <c r="BP101" s="63"/>
      <c r="BQ101" s="63"/>
      <c r="BR101" s="63"/>
      <c r="BS101" s="63"/>
      <c r="BT101" s="63"/>
      <c r="BU101" s="63"/>
      <c r="BV101" s="63"/>
      <c r="BW101" s="63"/>
      <c r="BX101" s="63"/>
      <c r="BY101" s="63"/>
      <c r="BZ101" s="63"/>
      <c r="CA101" s="63"/>
      <c r="CB101" s="63"/>
      <c r="CC101" s="63"/>
      <c r="CD101" s="63"/>
      <c r="CE101" s="63"/>
      <c r="CF101" s="63"/>
      <c r="CG101" s="63"/>
      <c r="CH101" s="63"/>
      <c r="CI101" s="63"/>
      <c r="CJ101" s="63"/>
      <c r="CK101" s="63"/>
      <c r="CL101" s="63"/>
      <c r="CM101" s="63"/>
      <c r="CN101" s="63"/>
      <c r="CO101" s="63"/>
      <c r="CP101" s="63"/>
      <c r="CQ101" s="63"/>
      <c r="CR101" s="63"/>
      <c r="CS101" s="63"/>
      <c r="CT101" s="63"/>
      <c r="CU101" s="63"/>
      <c r="CV101" s="63"/>
      <c r="CW101" s="63"/>
      <c r="CX101" s="63"/>
      <c r="CY101" s="63"/>
      <c r="CZ101" s="63"/>
    </row>
    <row r="102" spans="1:104" s="36" customFormat="1" x14ac:dyDescent="0.25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78"/>
      <c r="V102" s="78"/>
      <c r="W102" s="78"/>
      <c r="X102" s="78"/>
      <c r="Y102" s="78"/>
      <c r="Z102" s="78"/>
      <c r="AA102" s="78"/>
      <c r="AB102" s="78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  <c r="CA102" s="63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  <c r="CS102" s="63"/>
      <c r="CT102" s="63"/>
      <c r="CU102" s="63"/>
      <c r="CV102" s="63"/>
      <c r="CW102" s="63"/>
      <c r="CX102" s="63"/>
      <c r="CY102" s="63"/>
      <c r="CZ102" s="63"/>
    </row>
  </sheetData>
  <sortState ref="A13:H20">
    <sortCondition ref="A13:A20"/>
  </sortState>
  <mergeCells count="103">
    <mergeCell ref="Q1:AN1"/>
    <mergeCell ref="AO1:BD1"/>
    <mergeCell ref="BE1:BT1"/>
    <mergeCell ref="BU1:CJ1"/>
    <mergeCell ref="CK1:CZ1"/>
    <mergeCell ref="A2:P2"/>
    <mergeCell ref="Q2:AN2"/>
    <mergeCell ref="AO2:BD2"/>
    <mergeCell ref="BE2:BT2"/>
    <mergeCell ref="BU2:CJ2"/>
    <mergeCell ref="A4:P4"/>
    <mergeCell ref="Q4:AN4"/>
    <mergeCell ref="AO4:BD4"/>
    <mergeCell ref="BE4:BT4"/>
    <mergeCell ref="BU4:CJ4"/>
    <mergeCell ref="CK4:CZ4"/>
    <mergeCell ref="CK2:CZ2"/>
    <mergeCell ref="A3:P3"/>
    <mergeCell ref="Q3:AN3"/>
    <mergeCell ref="AO3:BD3"/>
    <mergeCell ref="BE3:BT3"/>
    <mergeCell ref="BU3:CJ3"/>
    <mergeCell ref="CK3:CZ3"/>
    <mergeCell ref="A6:P6"/>
    <mergeCell ref="Q6:AN6"/>
    <mergeCell ref="AO6:BD6"/>
    <mergeCell ref="BE6:BT6"/>
    <mergeCell ref="BU6:CJ6"/>
    <mergeCell ref="CK6:CZ6"/>
    <mergeCell ref="A5:P5"/>
    <mergeCell ref="Q5:AN5"/>
    <mergeCell ref="AO5:BD5"/>
    <mergeCell ref="BE5:BT5"/>
    <mergeCell ref="BU5:CJ5"/>
    <mergeCell ref="CK5:CZ5"/>
    <mergeCell ref="A8:P8"/>
    <mergeCell ref="Q8:AN8"/>
    <mergeCell ref="AO8:BD8"/>
    <mergeCell ref="BE8:BT8"/>
    <mergeCell ref="BU8:CJ8"/>
    <mergeCell ref="CK8:CZ8"/>
    <mergeCell ref="A7:P7"/>
    <mergeCell ref="Q7:AN7"/>
    <mergeCell ref="AO7:BD7"/>
    <mergeCell ref="BE7:BT7"/>
    <mergeCell ref="BU7:CJ7"/>
    <mergeCell ref="CK7:CZ7"/>
    <mergeCell ref="BE10:BT10"/>
    <mergeCell ref="BU10:CJ10"/>
    <mergeCell ref="CK10:CZ10"/>
    <mergeCell ref="A9:P9"/>
    <mergeCell ref="Q9:AN9"/>
    <mergeCell ref="AO9:BD9"/>
    <mergeCell ref="BE9:BT9"/>
    <mergeCell ref="BU9:CJ9"/>
    <mergeCell ref="CK9:CZ9"/>
    <mergeCell ref="A11:A12"/>
    <mergeCell ref="B11:B12"/>
    <mergeCell ref="C11:C12"/>
    <mergeCell ref="D11:D12"/>
    <mergeCell ref="F11:H11"/>
    <mergeCell ref="J11:L11"/>
    <mergeCell ref="A10:P10"/>
    <mergeCell ref="Q10:AN10"/>
    <mergeCell ref="AO10:BD10"/>
    <mergeCell ref="AH11:AJ11"/>
    <mergeCell ref="AL11:AN11"/>
    <mergeCell ref="AO11:AO12"/>
    <mergeCell ref="AP11:AP12"/>
    <mergeCell ref="AQ11:AQ12"/>
    <mergeCell ref="AR11:AR12"/>
    <mergeCell ref="N11:P11"/>
    <mergeCell ref="Q11:Q12"/>
    <mergeCell ref="R11:R12"/>
    <mergeCell ref="S11:S12"/>
    <mergeCell ref="T11:T12"/>
    <mergeCell ref="AD11:AF11"/>
    <mergeCell ref="V11:X11"/>
    <mergeCell ref="Z11:AB11"/>
    <mergeCell ref="BH11:BH12"/>
    <mergeCell ref="BJ11:BL11"/>
    <mergeCell ref="BN11:BP11"/>
    <mergeCell ref="BR11:BT11"/>
    <mergeCell ref="BU11:BU12"/>
    <mergeCell ref="BV11:BV12"/>
    <mergeCell ref="AT11:AV11"/>
    <mergeCell ref="AX11:AZ11"/>
    <mergeCell ref="BB11:BD11"/>
    <mergeCell ref="BE11:BE12"/>
    <mergeCell ref="BF11:BF12"/>
    <mergeCell ref="BG11:BG12"/>
    <mergeCell ref="CL11:CL12"/>
    <mergeCell ref="CM11:CM12"/>
    <mergeCell ref="CN11:CN12"/>
    <mergeCell ref="CP11:CR11"/>
    <mergeCell ref="CT11:CV11"/>
    <mergeCell ref="CX11:CZ11"/>
    <mergeCell ref="BW11:BW12"/>
    <mergeCell ref="BX11:BX12"/>
    <mergeCell ref="BZ11:CB11"/>
    <mergeCell ref="CD11:CF11"/>
    <mergeCell ref="CH11:CJ11"/>
    <mergeCell ref="CK11:CK12"/>
  </mergeCells>
  <printOptions horizontalCentered="1"/>
  <pageMargins left="0.31496062992125984" right="0.31496062992125984" top="0.74803149606299213" bottom="0.35433070866141736" header="0.31496062992125984" footer="0.31496062992125984"/>
  <pageSetup paperSize="9" scale="77" fitToWidth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2"/>
  <sheetViews>
    <sheetView zoomScaleNormal="100" workbookViewId="0">
      <selection activeCell="A22" sqref="A1:H22"/>
    </sheetView>
  </sheetViews>
  <sheetFormatPr defaultRowHeight="15" x14ac:dyDescent="0.25"/>
  <cols>
    <col min="1" max="1" width="4.5703125" style="63" customWidth="1"/>
    <col min="2" max="2" width="5.28515625" style="63" customWidth="1"/>
    <col min="3" max="3" width="23.28515625" style="63" bestFit="1" customWidth="1"/>
    <col min="4" max="4" width="19.7109375" style="63" bestFit="1" customWidth="1"/>
    <col min="5" max="5" width="12.28515625" style="63" bestFit="1" customWidth="1"/>
    <col min="6" max="6" width="10" style="63" bestFit="1" customWidth="1"/>
    <col min="7" max="7" width="7.5703125" style="63" customWidth="1"/>
    <col min="8" max="8" width="8.7109375" style="63" customWidth="1"/>
    <col min="9" max="16384" width="9.140625" style="63"/>
  </cols>
  <sheetData>
    <row r="1" spans="1:8" x14ac:dyDescent="0.25">
      <c r="A1" s="79" t="str">
        <f>Данные!B66</f>
        <v>Российская автомобильная федерация</v>
      </c>
      <c r="B1" s="79"/>
      <c r="C1" s="79"/>
      <c r="D1" s="79"/>
      <c r="E1" s="79"/>
      <c r="F1" s="79"/>
      <c r="G1" s="79"/>
      <c r="H1" s="79"/>
    </row>
    <row r="2" spans="1:8" x14ac:dyDescent="0.25">
      <c r="A2" s="79" t="str">
        <f>Данные!B67</f>
        <v>ФАС Челябинской области</v>
      </c>
      <c r="B2" s="79"/>
      <c r="C2" s="79"/>
      <c r="D2" s="79"/>
      <c r="E2" s="79"/>
      <c r="F2" s="79"/>
      <c r="G2" s="79"/>
      <c r="H2" s="79"/>
    </row>
    <row r="3" spans="1:8" x14ac:dyDescent="0.25">
      <c r="A3" s="79" t="str">
        <f>Данные!B68</f>
        <v xml:space="preserve">Команда  Red Off-road Expedition </v>
      </c>
      <c r="B3" s="79"/>
      <c r="C3" s="79"/>
      <c r="D3" s="79"/>
      <c r="E3" s="79"/>
      <c r="F3" s="79"/>
      <c r="G3" s="79"/>
      <c r="H3" s="79"/>
    </row>
    <row r="4" spans="1:8" x14ac:dyDescent="0.25">
      <c r="A4" s="79" t="str">
        <f>Данные!B69</f>
        <v>ООО «Внедорожный центр 4х4»</v>
      </c>
      <c r="B4" s="79"/>
      <c r="C4" s="79"/>
      <c r="D4" s="79"/>
      <c r="E4" s="79"/>
      <c r="F4" s="79"/>
      <c r="G4" s="79"/>
      <c r="H4" s="79"/>
    </row>
    <row r="5" spans="1:8" x14ac:dyDescent="0.25">
      <c r="A5" s="79" t="str">
        <f>Данные!B70</f>
        <v>Команда Pro-X</v>
      </c>
      <c r="B5" s="79"/>
      <c r="C5" s="79"/>
      <c r="D5" s="79"/>
      <c r="E5" s="79"/>
      <c r="F5" s="79"/>
      <c r="G5" s="79"/>
      <c r="H5" s="79"/>
    </row>
    <row r="6" spans="1:8" x14ac:dyDescent="0.25">
      <c r="A6" s="79" t="str">
        <f>Данные!B71</f>
        <v>Этап кубка Урало-Сибирской зоны по трофи-рейдам</v>
      </c>
      <c r="B6" s="79"/>
      <c r="C6" s="79"/>
      <c r="D6" s="79"/>
      <c r="E6" s="79"/>
      <c r="F6" s="79"/>
      <c r="G6" s="79"/>
      <c r="H6" s="79"/>
    </row>
    <row r="7" spans="1:8" x14ac:dyDescent="0.25">
      <c r="A7" s="99"/>
      <c r="B7" s="99"/>
      <c r="C7" s="99"/>
      <c r="D7" s="99"/>
      <c r="E7" s="99"/>
      <c r="F7" s="99"/>
      <c r="G7" s="99"/>
      <c r="H7" s="99"/>
    </row>
    <row r="8" spans="1:8" x14ac:dyDescent="0.25">
      <c r="A8" s="100">
        <v>43358</v>
      </c>
      <c r="B8" s="100"/>
      <c r="C8" s="100"/>
      <c r="H8" s="60" t="s">
        <v>159</v>
      </c>
    </row>
    <row r="9" spans="1:8" s="19" customFormat="1" x14ac:dyDescent="0.25">
      <c r="A9" s="81" t="s">
        <v>153</v>
      </c>
      <c r="B9" s="81"/>
      <c r="C9" s="81"/>
      <c r="D9" s="81"/>
      <c r="E9" s="81"/>
      <c r="F9" s="81"/>
      <c r="G9" s="81"/>
      <c r="H9" s="81"/>
    </row>
    <row r="10" spans="1:8" x14ac:dyDescent="0.25">
      <c r="A10" s="63" t="str">
        <f>Данные!B61</f>
        <v>ОФИЦИАЛЬНО</v>
      </c>
      <c r="H10" s="53">
        <f>Данные!C61</f>
        <v>0.91666666666666663</v>
      </c>
    </row>
    <row r="11" spans="1:8" s="3" customFormat="1" ht="12.75" x14ac:dyDescent="0.25">
      <c r="A11" s="82" t="s">
        <v>154</v>
      </c>
      <c r="B11" s="82" t="s">
        <v>111</v>
      </c>
      <c r="C11" s="82" t="s">
        <v>1</v>
      </c>
      <c r="D11" s="82" t="s">
        <v>3</v>
      </c>
      <c r="E11" s="83" t="s">
        <v>4</v>
      </c>
      <c r="F11" s="92" t="s">
        <v>155</v>
      </c>
      <c r="G11" s="94" t="s">
        <v>156</v>
      </c>
      <c r="H11" s="82"/>
    </row>
    <row r="12" spans="1:8" s="3" customFormat="1" ht="33.75" x14ac:dyDescent="0.25">
      <c r="A12" s="82"/>
      <c r="B12" s="82"/>
      <c r="C12" s="82"/>
      <c r="D12" s="82"/>
      <c r="E12" s="83"/>
      <c r="F12" s="93"/>
      <c r="G12" s="28" t="s">
        <v>161</v>
      </c>
      <c r="H12" s="28" t="s">
        <v>160</v>
      </c>
    </row>
    <row r="13" spans="1:8" s="6" customFormat="1" ht="60" x14ac:dyDescent="0.25">
      <c r="A13" s="26">
        <f>VLOOKUP($B13,TAB,133,FALSE)</f>
        <v>1</v>
      </c>
      <c r="B13" s="25">
        <v>101</v>
      </c>
      <c r="C13" s="11" t="str">
        <f>VLOOKUP($B13,TAB,2,FALSE)</f>
        <v>Малиновский Артем Александрович
Малиновский Антон Александрович</v>
      </c>
      <c r="D13" s="11" t="str">
        <f>VLOOKUP($B13,TAB,4,FALSE)</f>
        <v>Н. Тагил
Н. Тагил</v>
      </c>
      <c r="E13" s="11" t="str">
        <f>VLOOKUP($B13,TAB,5,FALSE)</f>
        <v>Прото</v>
      </c>
      <c r="F13" s="26">
        <f>VLOOKUP($B13,TAB,132,FALSE)</f>
        <v>1309</v>
      </c>
      <c r="G13" s="27" t="str">
        <f>IF(F13="СХОД","СХОД",IF(A13=1,"**",F$13-F13))</f>
        <v>**</v>
      </c>
      <c r="H13" s="27" t="str">
        <f>IF(F13="СХОД","СХОД",IF(A13=1,"**",F12-F13))</f>
        <v>**</v>
      </c>
    </row>
    <row r="14" spans="1:8" s="6" customFormat="1" ht="60" x14ac:dyDescent="0.25">
      <c r="A14" s="26">
        <f>VLOOKUP($B14,TAB,133,FALSE)</f>
        <v>2</v>
      </c>
      <c r="B14" s="25">
        <v>107</v>
      </c>
      <c r="C14" s="11" t="str">
        <f>VLOOKUP($B14,TAB,2,FALSE)</f>
        <v>Демидов Максим Владимирович
Назаров Сергей Александрович</v>
      </c>
      <c r="D14" s="11" t="str">
        <f>VLOOKUP($B14,TAB,4,FALSE)</f>
        <v>Челябинск
Челябинск</v>
      </c>
      <c r="E14" s="11" t="str">
        <f>VLOOKUP($B14,TAB,5,FALSE)</f>
        <v>Прото</v>
      </c>
      <c r="F14" s="26">
        <f>VLOOKUP($B14,TAB,132,FALSE)</f>
        <v>1300</v>
      </c>
      <c r="G14" s="27">
        <f>IF(F14="СХОД","СХОД",IF(A14=1,"**",F$13-F14))</f>
        <v>9</v>
      </c>
      <c r="H14" s="27">
        <f>IF(F14="СХОД","СХОД",IF(A14=1,"**",F13-F14))</f>
        <v>9</v>
      </c>
    </row>
    <row r="15" spans="1:8" s="6" customFormat="1" ht="60" x14ac:dyDescent="0.25">
      <c r="A15" s="26">
        <f>VLOOKUP($B15,TAB,133,FALSE)</f>
        <v>3</v>
      </c>
      <c r="B15" s="25">
        <v>105</v>
      </c>
      <c r="C15" s="11" t="str">
        <f>VLOOKUP($B15,TAB,2,FALSE)</f>
        <v>Мошкин Петр Александрович
Солод Дмитрий Анатольевич</v>
      </c>
      <c r="D15" s="11" t="str">
        <f>VLOOKUP($B15,TAB,4,FALSE)</f>
        <v>Сатка
Коркино</v>
      </c>
      <c r="E15" s="11" t="str">
        <f>VLOOKUP($B15,TAB,5,FALSE)</f>
        <v>Прото</v>
      </c>
      <c r="F15" s="26">
        <f>VLOOKUP($B15,TAB,132,FALSE)</f>
        <v>1010</v>
      </c>
      <c r="G15" s="27">
        <f>IF(F15="СХОД","СХОД",IF(A15=1,"**",F$13-F15))</f>
        <v>299</v>
      </c>
      <c r="H15" s="27">
        <f>IF(F15="СХОД","СХОД",IF(A15=1,"**",F14-F15))</f>
        <v>290</v>
      </c>
    </row>
    <row r="16" spans="1:8" s="6" customFormat="1" ht="60" x14ac:dyDescent="0.25">
      <c r="A16" s="26">
        <f>VLOOKUP($B16,TAB,133,FALSE)</f>
        <v>4</v>
      </c>
      <c r="B16" s="25">
        <v>104</v>
      </c>
      <c r="C16" s="11" t="str">
        <f>VLOOKUP($B16,TAB,2,FALSE)</f>
        <v>Минеев Юрий Александрович
Макаренко Сергей Викторович</v>
      </c>
      <c r="D16" s="11" t="str">
        <f>VLOOKUP($B16,TAB,4,FALSE)</f>
        <v>Челябинск
Челябинск</v>
      </c>
      <c r="E16" s="11" t="str">
        <f>VLOOKUP($B16,TAB,5,FALSE)</f>
        <v>Прото</v>
      </c>
      <c r="F16" s="26">
        <f>VLOOKUP($B16,TAB,132,FALSE)</f>
        <v>898</v>
      </c>
      <c r="G16" s="27">
        <f>IF(F16="СХОД","СХОД",IF(A16=1,"**",F$13-F16))</f>
        <v>411</v>
      </c>
      <c r="H16" s="27">
        <f>IF(F16="СХОД","СХОД",IF(A16=1,"**",F15-F16))</f>
        <v>112</v>
      </c>
    </row>
    <row r="17" spans="1:16" s="6" customFormat="1" ht="60" x14ac:dyDescent="0.25">
      <c r="A17" s="26">
        <f>VLOOKUP($B17,TAB,133,FALSE)</f>
        <v>5</v>
      </c>
      <c r="B17" s="25">
        <v>108</v>
      </c>
      <c r="C17" s="11" t="str">
        <f>VLOOKUP($B17,TAB,2,FALSE)</f>
        <v>Насыров Артур Уралович
Котов Вячеслав Сергеевич</v>
      </c>
      <c r="D17" s="11" t="str">
        <f>VLOOKUP($B17,TAB,4,FALSE)</f>
        <v>Сатка
Тюмень</v>
      </c>
      <c r="E17" s="11" t="str">
        <f>VLOOKUP($B17,TAB,5,FALSE)</f>
        <v>Прото</v>
      </c>
      <c r="F17" s="26">
        <f>VLOOKUP($B17,TAB,132,FALSE)</f>
        <v>739</v>
      </c>
      <c r="G17" s="27">
        <f>IF(F17="СХОД","СХОД",IF(A17=1,"**",F$13-F17))</f>
        <v>570</v>
      </c>
      <c r="H17" s="27">
        <f>IF(F17="СХОД","СХОД",IF(A17=1,"**",F16-F17))</f>
        <v>159</v>
      </c>
    </row>
    <row r="18" spans="1:16" s="6" customFormat="1" ht="60" x14ac:dyDescent="0.25">
      <c r="A18" s="26">
        <f>VLOOKUP($B18,TAB,133,FALSE)</f>
        <v>6</v>
      </c>
      <c r="B18" s="25">
        <v>102</v>
      </c>
      <c r="C18" s="11" t="str">
        <f>VLOOKUP($B18,TAB,2,FALSE)</f>
        <v>Иванов Артем Альбертович
Иванов Роман Альбертович</v>
      </c>
      <c r="D18" s="11" t="str">
        <f>VLOOKUP($B18,TAB,4,FALSE)</f>
        <v>Кушва
Кушва</v>
      </c>
      <c r="E18" s="11" t="str">
        <f>VLOOKUP($B18,TAB,5,FALSE)</f>
        <v>Прото</v>
      </c>
      <c r="F18" s="26">
        <f>VLOOKUP($B18,TAB,132,FALSE)</f>
        <v>666</v>
      </c>
      <c r="G18" s="27">
        <f>IF(F18="СХОД","СХОД",IF(A18=1,"**",F$13-F18))</f>
        <v>643</v>
      </c>
      <c r="H18" s="27">
        <f>IF(F18="СХОД","СХОД",IF(A18=1,"**",F17-F18))</f>
        <v>73</v>
      </c>
    </row>
    <row r="19" spans="1:16" s="6" customFormat="1" ht="45" x14ac:dyDescent="0.25">
      <c r="A19" s="26">
        <f>VLOOKUP($B19,TAB,133,FALSE)</f>
        <v>7</v>
      </c>
      <c r="B19" s="25">
        <v>111</v>
      </c>
      <c r="C19" s="11" t="str">
        <f>VLOOKUP($B19,TAB,2,FALSE)</f>
        <v>Айбазов Анзор Магометович
Хубиев Расул Леонович</v>
      </c>
      <c r="D19" s="11" t="str">
        <f>VLOOKUP($B19,TAB,4,FALSE)</f>
        <v>КМВ
КМВ</v>
      </c>
      <c r="E19" s="11" t="str">
        <f>VLOOKUP($B19,TAB,5,FALSE)</f>
        <v>Прото</v>
      </c>
      <c r="F19" s="26">
        <f>VLOOKUP($B19,TAB,132,FALSE)</f>
        <v>560</v>
      </c>
      <c r="G19" s="27">
        <f>IF(F19="СХОД","СХОД",IF(A19=1,"**",F$13-F19))</f>
        <v>749</v>
      </c>
      <c r="H19" s="27">
        <f>IF(F19="СХОД","СХОД",IF(A19=1,"**",F18-F19))</f>
        <v>106</v>
      </c>
    </row>
    <row r="20" spans="1:16" s="6" customFormat="1" ht="60" x14ac:dyDescent="0.25">
      <c r="A20" s="26">
        <f>VLOOKUP($B20,TAB,133,FALSE)</f>
        <v>8</v>
      </c>
      <c r="B20" s="25">
        <v>100</v>
      </c>
      <c r="C20" s="11" t="str">
        <f>VLOOKUP($B20,TAB,2,FALSE)</f>
        <v>Галузин Вячеслав Владимирович
Плесовских Сергей Владимирович</v>
      </c>
      <c r="D20" s="11" t="str">
        <f>VLOOKUP($B20,TAB,4,FALSE)</f>
        <v>Златоуст
Златоуст</v>
      </c>
      <c r="E20" s="11" t="str">
        <f>VLOOKUP($B20,TAB,5,FALSE)</f>
        <v>Прото</v>
      </c>
      <c r="F20" s="26">
        <f>VLOOKUP($B20,TAB,132,FALSE)</f>
        <v>467</v>
      </c>
      <c r="G20" s="27">
        <f>IF(F20="СХОД","СХОД",IF(A20=1,"**",F$13-F20))</f>
        <v>842</v>
      </c>
      <c r="H20" s="27">
        <f>IF(F20="СХОД","СХОД",IF(A20=1,"**",F19-F20))</f>
        <v>93</v>
      </c>
    </row>
    <row r="21" spans="1:16" s="36" customFormat="1" x14ac:dyDescent="0.25">
      <c r="A21" s="32"/>
      <c r="B21" s="33"/>
      <c r="C21" s="33"/>
      <c r="D21" s="33"/>
      <c r="E21" s="34"/>
      <c r="F21" s="35"/>
      <c r="G21" s="35"/>
      <c r="H21" s="35"/>
      <c r="I21" s="34"/>
      <c r="J21" s="35"/>
      <c r="K21" s="35"/>
      <c r="L21" s="35"/>
      <c r="M21" s="34"/>
      <c r="N21" s="35"/>
      <c r="O21" s="35"/>
      <c r="P21" s="35"/>
    </row>
    <row r="22" spans="1:16" s="41" customFormat="1" x14ac:dyDescent="0.25">
      <c r="A22" s="38"/>
      <c r="B22" s="37" t="s">
        <v>357</v>
      </c>
      <c r="C22" s="37"/>
      <c r="D22" s="37"/>
      <c r="E22" s="37" t="s">
        <v>358</v>
      </c>
      <c r="F22" s="40"/>
      <c r="G22" s="40"/>
      <c r="H22" s="40"/>
      <c r="I22" s="39"/>
      <c r="J22" s="40"/>
      <c r="L22" s="40"/>
      <c r="M22" s="39"/>
      <c r="N22" s="40"/>
      <c r="O22" s="40"/>
      <c r="P22" s="40"/>
    </row>
  </sheetData>
  <sortState ref="A13:H20">
    <sortCondition ref="A13:A20"/>
  </sortState>
  <mergeCells count="16">
    <mergeCell ref="A6:H6"/>
    <mergeCell ref="A1:H1"/>
    <mergeCell ref="A2:H2"/>
    <mergeCell ref="A3:H3"/>
    <mergeCell ref="A4:H4"/>
    <mergeCell ref="A5:H5"/>
    <mergeCell ref="G11:H11"/>
    <mergeCell ref="A7:H7"/>
    <mergeCell ref="A8:C8"/>
    <mergeCell ref="A9:H9"/>
    <mergeCell ref="A11:A12"/>
    <mergeCell ref="B11:B12"/>
    <mergeCell ref="C11:C12"/>
    <mergeCell ref="D11:D12"/>
    <mergeCell ref="E11:E12"/>
    <mergeCell ref="F11:F12"/>
  </mergeCells>
  <printOptions horizontalCentered="1"/>
  <pageMargins left="0.31496062992125984" right="0.31496062992125984" top="0.74803149606299213" bottom="0.35433070866141736" header="0.31496062992125984" footer="0.31496062992125984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A102"/>
  <sheetViews>
    <sheetView topLeftCell="BP1" zoomScaleNormal="100" workbookViewId="0">
      <selection activeCell="A22" sqref="A1:DA22"/>
    </sheetView>
  </sheetViews>
  <sheetFormatPr defaultRowHeight="15" x14ac:dyDescent="0.25"/>
  <cols>
    <col min="1" max="1" width="5.28515625" style="63" customWidth="1"/>
    <col min="2" max="2" width="23.28515625" style="63" customWidth="1"/>
    <col min="3" max="3" width="19.7109375" style="63" customWidth="1"/>
    <col min="4" max="4" width="12.28515625" style="63" customWidth="1"/>
    <col min="5" max="5" width="7.140625" style="63" customWidth="1"/>
    <col min="6" max="8" width="6.28515625" style="63" customWidth="1"/>
    <col min="9" max="9" width="7.140625" style="63" hidden="1" customWidth="1"/>
    <col min="10" max="12" width="6.28515625" style="63" hidden="1" customWidth="1"/>
    <col min="13" max="13" width="7.140625" style="63" hidden="1" customWidth="1"/>
    <col min="14" max="16" width="6.28515625" style="63" hidden="1" customWidth="1"/>
    <col min="17" max="17" width="5.7109375" style="63" hidden="1" customWidth="1"/>
    <col min="18" max="18" width="23.28515625" style="63" hidden="1" customWidth="1"/>
    <col min="19" max="19" width="19.7109375" style="63" hidden="1" customWidth="1"/>
    <col min="20" max="20" width="12.28515625" style="63" hidden="1" customWidth="1"/>
    <col min="21" max="21" width="7.140625" style="78" customWidth="1"/>
    <col min="22" max="22" width="6.28515625" style="78" customWidth="1"/>
    <col min="23" max="23" width="6.28515625" style="78" bestFit="1" customWidth="1"/>
    <col min="24" max="24" width="6.28515625" style="78" customWidth="1"/>
    <col min="25" max="25" width="7.140625" style="78" bestFit="1" customWidth="1"/>
    <col min="26" max="28" width="6.28515625" style="78" customWidth="1"/>
    <col min="29" max="29" width="7.140625" style="63" bestFit="1" customWidth="1"/>
    <col min="30" max="30" width="6.28515625" style="63" customWidth="1"/>
    <col min="31" max="31" width="6.28515625" style="63" bestFit="1" customWidth="1"/>
    <col min="32" max="32" width="6.28515625" style="63" customWidth="1"/>
    <col min="33" max="33" width="7.140625" style="63" bestFit="1" customWidth="1"/>
    <col min="34" max="36" width="6.28515625" style="63" customWidth="1"/>
    <col min="37" max="37" width="7.140625" style="63" bestFit="1" customWidth="1"/>
    <col min="38" max="40" width="6.28515625" style="63" customWidth="1"/>
    <col min="41" max="41" width="6.28515625" style="63" hidden="1" customWidth="1"/>
    <col min="42" max="42" width="23.28515625" style="63" hidden="1" customWidth="1"/>
    <col min="43" max="43" width="19.7109375" style="63" hidden="1" customWidth="1"/>
    <col min="44" max="44" width="12.28515625" style="63" hidden="1" customWidth="1"/>
    <col min="45" max="45" width="7.140625" style="63" bestFit="1" customWidth="1"/>
    <col min="46" max="46" width="6.28515625" style="63" customWidth="1"/>
    <col min="47" max="47" width="6.28515625" style="63" bestFit="1" customWidth="1"/>
    <col min="48" max="48" width="6.28515625" style="63" customWidth="1"/>
    <col min="49" max="49" width="7.140625" style="63" bestFit="1" customWidth="1"/>
    <col min="50" max="52" width="6.28515625" style="63" customWidth="1"/>
    <col min="53" max="53" width="7.140625" style="63" bestFit="1" customWidth="1"/>
    <col min="54" max="56" width="6.28515625" style="63" customWidth="1"/>
    <col min="57" max="57" width="5.5703125" style="63" hidden="1" customWidth="1"/>
    <col min="58" max="58" width="23.28515625" style="63" hidden="1" customWidth="1"/>
    <col min="59" max="59" width="19.7109375" style="63" hidden="1" customWidth="1"/>
    <col min="60" max="60" width="12.28515625" style="63" hidden="1" customWidth="1"/>
    <col min="61" max="61" width="7.140625" style="63" bestFit="1" customWidth="1"/>
    <col min="62" max="62" width="6.28515625" style="63" customWidth="1"/>
    <col min="63" max="63" width="6.28515625" style="63" bestFit="1" customWidth="1"/>
    <col min="64" max="64" width="6.28515625" style="63" customWidth="1"/>
    <col min="65" max="65" width="7.140625" style="63" bestFit="1" customWidth="1"/>
    <col min="66" max="68" width="6.28515625" style="63" customWidth="1"/>
    <col min="69" max="69" width="7.140625" style="63" bestFit="1" customWidth="1"/>
    <col min="70" max="72" width="6.28515625" style="63" customWidth="1"/>
    <col min="73" max="73" width="5.5703125" style="63" hidden="1" customWidth="1"/>
    <col min="74" max="74" width="23.28515625" style="63" hidden="1" customWidth="1"/>
    <col min="75" max="75" width="19.7109375" style="63" hidden="1" customWidth="1"/>
    <col min="76" max="76" width="12.28515625" style="63" hidden="1" customWidth="1"/>
    <col min="77" max="77" width="7.140625" style="63" bestFit="1" customWidth="1"/>
    <col min="78" max="78" width="6.28515625" style="63" customWidth="1"/>
    <col min="79" max="79" width="6.28515625" style="63" bestFit="1" customWidth="1"/>
    <col min="80" max="80" width="6.28515625" style="63" customWidth="1"/>
    <col min="81" max="81" width="7.140625" style="63" bestFit="1" customWidth="1"/>
    <col min="82" max="84" width="6.28515625" style="63" customWidth="1"/>
    <col min="85" max="85" width="7.140625" style="63" bestFit="1" customWidth="1"/>
    <col min="86" max="88" width="6.28515625" style="63" customWidth="1"/>
    <col min="89" max="89" width="5.7109375" style="63" hidden="1" customWidth="1"/>
    <col min="90" max="90" width="23.28515625" style="63" hidden="1" customWidth="1"/>
    <col min="91" max="91" width="19.7109375" style="63" hidden="1" customWidth="1"/>
    <col min="92" max="92" width="12.28515625" style="63" hidden="1" customWidth="1"/>
    <col min="93" max="93" width="7.140625" style="63" bestFit="1" customWidth="1"/>
    <col min="94" max="94" width="6.28515625" style="63" customWidth="1"/>
    <col min="95" max="95" width="6.28515625" style="63" bestFit="1" customWidth="1"/>
    <col min="96" max="96" width="6.28515625" style="63" customWidth="1"/>
    <col min="97" max="97" width="7.140625" style="63" bestFit="1" customWidth="1"/>
    <col min="98" max="100" width="6.28515625" style="63" customWidth="1"/>
    <col min="101" max="101" width="7.140625" style="63" hidden="1" customWidth="1"/>
    <col min="102" max="104" width="6.28515625" style="63" hidden="1" customWidth="1"/>
    <col min="105" max="105" width="14.28515625" style="63" bestFit="1" customWidth="1"/>
    <col min="106" max="16384" width="9.140625" style="63"/>
  </cols>
  <sheetData>
    <row r="1" spans="1:105" x14ac:dyDescent="0.25">
      <c r="A1" s="60" t="str">
        <f>Данные!B66</f>
        <v>Российская автомобильная федерация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79" t="str">
        <f>Данные!B66</f>
        <v>Российская автомобильная федерация</v>
      </c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 t="str">
        <f>Данные!B66</f>
        <v>Российская автомобильная федерация</v>
      </c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 t="str">
        <f>Данные!B66</f>
        <v>Российская автомобильная федерация</v>
      </c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 t="str">
        <f>Данные!B66</f>
        <v>Российская автомобильная федерация</v>
      </c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/>
      <c r="CK1" s="79" t="str">
        <f>Данные!B66</f>
        <v>Российская автомобильная федерация</v>
      </c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</row>
    <row r="2" spans="1:105" x14ac:dyDescent="0.25">
      <c r="A2" s="79" t="str">
        <f>Данные!B67</f>
        <v>ФАС Челябинской области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 t="str">
        <f>Данные!B67</f>
        <v>ФАС Челябинской области</v>
      </c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 t="str">
        <f>Данные!B67</f>
        <v>ФАС Челябинской области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 t="str">
        <f>Данные!B67</f>
        <v>ФАС Челябинской области</v>
      </c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 t="str">
        <f>Данные!B67</f>
        <v>ФАС Челябинской области</v>
      </c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 t="str">
        <f>Данные!B67</f>
        <v>ФАС Челябинской области</v>
      </c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</row>
    <row r="3" spans="1:105" x14ac:dyDescent="0.25">
      <c r="A3" s="79" t="str">
        <f>Данные!B68</f>
        <v xml:space="preserve">Команда  Red Off-road Expedition 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 t="str">
        <f>Данные!B68</f>
        <v xml:space="preserve">Команда  Red Off-road Expedition </v>
      </c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 t="str">
        <f>Данные!B68</f>
        <v xml:space="preserve">Команда  Red Off-road Expedition </v>
      </c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 t="str">
        <f>Данные!B68</f>
        <v xml:space="preserve">Команда  Red Off-road Expedition </v>
      </c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  <c r="BQ3" s="79"/>
      <c r="BR3" s="79"/>
      <c r="BS3" s="79"/>
      <c r="BT3" s="79"/>
      <c r="BU3" s="79" t="str">
        <f>Данные!B68</f>
        <v xml:space="preserve">Команда  Red Off-road Expedition </v>
      </c>
      <c r="BV3" s="79"/>
      <c r="BW3" s="79"/>
      <c r="BX3" s="79"/>
      <c r="BY3" s="79"/>
      <c r="BZ3" s="79"/>
      <c r="CA3" s="79"/>
      <c r="CB3" s="79"/>
      <c r="CC3" s="79"/>
      <c r="CD3" s="79"/>
      <c r="CE3" s="79"/>
      <c r="CF3" s="79"/>
      <c r="CG3" s="79"/>
      <c r="CH3" s="79"/>
      <c r="CI3" s="79"/>
      <c r="CJ3" s="79"/>
      <c r="CK3" s="79" t="str">
        <f>Данные!B68</f>
        <v xml:space="preserve">Команда  Red Off-road Expedition </v>
      </c>
      <c r="CL3" s="79"/>
      <c r="CM3" s="79"/>
      <c r="CN3" s="79"/>
      <c r="CO3" s="79"/>
      <c r="CP3" s="79"/>
      <c r="CQ3" s="79"/>
      <c r="CR3" s="79"/>
      <c r="CS3" s="79"/>
      <c r="CT3" s="79"/>
      <c r="CU3" s="79"/>
      <c r="CV3" s="79"/>
      <c r="CW3" s="79"/>
      <c r="CX3" s="79"/>
      <c r="CY3" s="79"/>
      <c r="CZ3" s="79"/>
    </row>
    <row r="4" spans="1:105" x14ac:dyDescent="0.25">
      <c r="A4" s="79" t="str">
        <f>Данные!B69</f>
        <v>ООО «Внедорожный центр 4х4»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 t="str">
        <f>Данные!B69</f>
        <v>ООО «Внедорожный центр 4х4»</v>
      </c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 t="str">
        <f>Данные!B69</f>
        <v>ООО «Внедорожный центр 4х4»</v>
      </c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 t="str">
        <f>Данные!B69</f>
        <v>ООО «Внедорожный центр 4х4»</v>
      </c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 t="str">
        <f>Данные!B69</f>
        <v>ООО «Внедорожный центр 4х4»</v>
      </c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 t="str">
        <f>Данные!B69</f>
        <v>ООО «Внедорожный центр 4х4»</v>
      </c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</row>
    <row r="5" spans="1:105" x14ac:dyDescent="0.25">
      <c r="A5" s="79" t="str">
        <f>Данные!B70</f>
        <v>Команда Pro-X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 t="str">
        <f>Данные!B70</f>
        <v>Команда Pro-X</v>
      </c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 t="str">
        <f>Данные!B70</f>
        <v>Команда Pro-X</v>
      </c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 t="str">
        <f>Данные!B70</f>
        <v>Команда Pro-X</v>
      </c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 t="str">
        <f>Данные!B70</f>
        <v>Команда Pro-X</v>
      </c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 t="str">
        <f>Данные!B70</f>
        <v>Команда Pro-X</v>
      </c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</row>
    <row r="6" spans="1:105" x14ac:dyDescent="0.25">
      <c r="A6" s="79" t="str">
        <f>Данные!B71</f>
        <v>Этап кубка Урало-Сибирской зоны по трофи-рейдам</v>
      </c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 t="str">
        <f>Данные!B71</f>
        <v>Этап кубка Урало-Сибирской зоны по трофи-рейдам</v>
      </c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 t="str">
        <f>Данные!B71</f>
        <v>Этап кубка Урало-Сибирской зоны по трофи-рейдам</v>
      </c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 t="str">
        <f>Данные!B71</f>
        <v>Этап кубка Урало-Сибирской зоны по трофи-рейдам</v>
      </c>
      <c r="BF6" s="79"/>
      <c r="BG6" s="79"/>
      <c r="BH6" s="79"/>
      <c r="BI6" s="79"/>
      <c r="BJ6" s="79"/>
      <c r="BK6" s="79"/>
      <c r="BL6" s="79"/>
      <c r="BM6" s="79"/>
      <c r="BN6" s="79"/>
      <c r="BO6" s="79"/>
      <c r="BP6" s="79"/>
      <c r="BQ6" s="79"/>
      <c r="BR6" s="79"/>
      <c r="BS6" s="79"/>
      <c r="BT6" s="79"/>
      <c r="BU6" s="79" t="str">
        <f>Данные!B71</f>
        <v>Этап кубка Урало-Сибирской зоны по трофи-рейдам</v>
      </c>
      <c r="BV6" s="79"/>
      <c r="BW6" s="79"/>
      <c r="BX6" s="79"/>
      <c r="BY6" s="79"/>
      <c r="BZ6" s="79"/>
      <c r="CA6" s="79"/>
      <c r="CB6" s="79"/>
      <c r="CC6" s="79"/>
      <c r="CD6" s="79"/>
      <c r="CE6" s="79"/>
      <c r="CF6" s="79"/>
      <c r="CG6" s="79"/>
      <c r="CH6" s="79"/>
      <c r="CI6" s="79"/>
      <c r="CJ6" s="79"/>
      <c r="CK6" s="79" t="str">
        <f>Данные!B71</f>
        <v>Этап кубка Урало-Сибирской зоны по трофи-рейдам</v>
      </c>
      <c r="CL6" s="79"/>
      <c r="CM6" s="79"/>
      <c r="CN6" s="79"/>
      <c r="CO6" s="79"/>
      <c r="CP6" s="79"/>
      <c r="CQ6" s="79"/>
      <c r="CR6" s="79"/>
      <c r="CS6" s="79"/>
      <c r="CT6" s="79"/>
      <c r="CU6" s="79"/>
      <c r="CV6" s="79"/>
      <c r="CW6" s="79"/>
      <c r="CX6" s="79"/>
      <c r="CY6" s="79"/>
      <c r="CZ6" s="79"/>
    </row>
    <row r="7" spans="1:105" x14ac:dyDescent="0.25">
      <c r="A7" s="79" t="str">
        <f>Данные!B72</f>
        <v>г.Челябинск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 t="str">
        <f>Данные!B72</f>
        <v>г.Челябинск</v>
      </c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 t="str">
        <f>Данные!B72</f>
        <v>г.Челябинск</v>
      </c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 t="str">
        <f>Данные!B72</f>
        <v>г.Челябинск</v>
      </c>
      <c r="BF7" s="79"/>
      <c r="BG7" s="79"/>
      <c r="BH7" s="79"/>
      <c r="BI7" s="79"/>
      <c r="BJ7" s="79"/>
      <c r="BK7" s="79"/>
      <c r="BL7" s="79"/>
      <c r="BM7" s="79"/>
      <c r="BN7" s="79"/>
      <c r="BO7" s="79"/>
      <c r="BP7" s="79"/>
      <c r="BQ7" s="79"/>
      <c r="BR7" s="79"/>
      <c r="BS7" s="79"/>
      <c r="BT7" s="79"/>
      <c r="BU7" s="79" t="str">
        <f>Данные!B72</f>
        <v>г.Челябинск</v>
      </c>
      <c r="BV7" s="79"/>
      <c r="BW7" s="79"/>
      <c r="BX7" s="79"/>
      <c r="BY7" s="79"/>
      <c r="BZ7" s="79"/>
      <c r="CA7" s="79"/>
      <c r="CB7" s="79"/>
      <c r="CC7" s="79"/>
      <c r="CD7" s="79"/>
      <c r="CE7" s="79"/>
      <c r="CF7" s="79"/>
      <c r="CG7" s="79"/>
      <c r="CH7" s="79"/>
      <c r="CI7" s="79"/>
      <c r="CJ7" s="79"/>
      <c r="CK7" s="79" t="str">
        <f>Данные!B72</f>
        <v>г.Челябинск</v>
      </c>
      <c r="CL7" s="79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</row>
    <row r="8" spans="1:105" x14ac:dyDescent="0.25">
      <c r="A8" s="80">
        <f>Данные!B73</f>
        <v>43358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>
        <f>Данные!B73</f>
        <v>43358</v>
      </c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>
        <f>Данные!B73</f>
        <v>43358</v>
      </c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>
        <f>Данные!B73</f>
        <v>43358</v>
      </c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>
        <f>Данные!B73</f>
        <v>43358</v>
      </c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>
        <f>Данные!B73</f>
        <v>43358</v>
      </c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</row>
    <row r="9" spans="1:105" s="19" customFormat="1" x14ac:dyDescent="0.25">
      <c r="A9" s="81" t="s">
        <v>167</v>
      </c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 t="s">
        <v>167</v>
      </c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 t="s">
        <v>167</v>
      </c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 t="s">
        <v>167</v>
      </c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 t="s">
        <v>167</v>
      </c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 t="s">
        <v>167</v>
      </c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</row>
    <row r="10" spans="1:105" s="19" customFormat="1" x14ac:dyDescent="0.25">
      <c r="A10" s="97" t="s">
        <v>212</v>
      </c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 t="s">
        <v>212</v>
      </c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 t="s">
        <v>212</v>
      </c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 t="s">
        <v>212</v>
      </c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 t="s">
        <v>212</v>
      </c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 t="s">
        <v>212</v>
      </c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</row>
    <row r="11" spans="1:105" s="29" customFormat="1" ht="15" customHeight="1" x14ac:dyDescent="0.25">
      <c r="A11" s="82" t="s">
        <v>111</v>
      </c>
      <c r="B11" s="82" t="s">
        <v>1</v>
      </c>
      <c r="C11" s="82" t="s">
        <v>3</v>
      </c>
      <c r="D11" s="83" t="s">
        <v>4</v>
      </c>
      <c r="E11" s="43" t="s">
        <v>223</v>
      </c>
      <c r="F11" s="95" t="str">
        <f>VLOOKUP(E11,SU,2,FALSE)</f>
        <v>Кольцевая гонка</v>
      </c>
      <c r="G11" s="95"/>
      <c r="H11" s="96"/>
      <c r="I11" s="64"/>
      <c r="J11" s="98"/>
      <c r="K11" s="98"/>
      <c r="L11" s="98"/>
      <c r="M11" s="65"/>
      <c r="N11" s="98"/>
      <c r="O11" s="98"/>
      <c r="P11" s="98"/>
      <c r="Q11" s="82" t="s">
        <v>111</v>
      </c>
      <c r="R11" s="82" t="s">
        <v>1</v>
      </c>
      <c r="S11" s="82" t="s">
        <v>3</v>
      </c>
      <c r="T11" s="83" t="s">
        <v>4</v>
      </c>
      <c r="U11" s="43" t="s">
        <v>184</v>
      </c>
      <c r="V11" s="95" t="str">
        <f>VLOOKUP(U11,SU,2,FALSE)</f>
        <v>СУ-14</v>
      </c>
      <c r="W11" s="95"/>
      <c r="X11" s="96"/>
      <c r="Y11" s="43" t="s">
        <v>185</v>
      </c>
      <c r="Z11" s="95" t="str">
        <f>VLOOKUP(Y11,SU,2,FALSE)</f>
        <v>СУ-15</v>
      </c>
      <c r="AA11" s="95"/>
      <c r="AB11" s="96"/>
      <c r="AC11" s="43" t="s">
        <v>168</v>
      </c>
      <c r="AD11" s="95" t="str">
        <f>VLOOKUP(AC11,SU,2,FALSE)</f>
        <v>СУ-16</v>
      </c>
      <c r="AE11" s="95"/>
      <c r="AF11" s="96"/>
      <c r="AG11" s="43" t="s">
        <v>169</v>
      </c>
      <c r="AH11" s="95" t="str">
        <f>VLOOKUP(AG11,SU,2,FALSE)</f>
        <v>СУ-17</v>
      </c>
      <c r="AI11" s="95"/>
      <c r="AJ11" s="96"/>
      <c r="AK11" s="43" t="s">
        <v>170</v>
      </c>
      <c r="AL11" s="95" t="str">
        <f>VLOOKUP(AK11,SU,2,FALSE)</f>
        <v>СУ-18</v>
      </c>
      <c r="AM11" s="95"/>
      <c r="AN11" s="96"/>
      <c r="AO11" s="82" t="s">
        <v>111</v>
      </c>
      <c r="AP11" s="82" t="s">
        <v>1</v>
      </c>
      <c r="AQ11" s="82" t="s">
        <v>3</v>
      </c>
      <c r="AR11" s="83" t="s">
        <v>4</v>
      </c>
      <c r="AS11" s="43" t="s">
        <v>186</v>
      </c>
      <c r="AT11" s="95" t="str">
        <f>VLOOKUP(AS11,SU,2,FALSE)</f>
        <v>СУ-19</v>
      </c>
      <c r="AU11" s="95"/>
      <c r="AV11" s="96"/>
      <c r="AW11" s="43" t="s">
        <v>187</v>
      </c>
      <c r="AX11" s="95" t="str">
        <f>VLOOKUP(AW11,SU,2,FALSE)</f>
        <v>СУ-20</v>
      </c>
      <c r="AY11" s="95"/>
      <c r="AZ11" s="96"/>
      <c r="BA11" s="43" t="s">
        <v>188</v>
      </c>
      <c r="BB11" s="95" t="str">
        <f>VLOOKUP(BA11,SU,2,FALSE)</f>
        <v>СУ-21</v>
      </c>
      <c r="BC11" s="95"/>
      <c r="BD11" s="96"/>
      <c r="BE11" s="82" t="s">
        <v>111</v>
      </c>
      <c r="BF11" s="82" t="s">
        <v>1</v>
      </c>
      <c r="BG11" s="82" t="s">
        <v>3</v>
      </c>
      <c r="BH11" s="83" t="s">
        <v>4</v>
      </c>
      <c r="BI11" s="43" t="s">
        <v>189</v>
      </c>
      <c r="BJ11" s="95" t="str">
        <f>VLOOKUP(BI11,SU,2,FALSE)</f>
        <v>СУ-22</v>
      </c>
      <c r="BK11" s="95"/>
      <c r="BL11" s="96"/>
      <c r="BM11" s="43" t="s">
        <v>190</v>
      </c>
      <c r="BN11" s="95" t="str">
        <f>VLOOKUP(BM11,SU,2,FALSE)</f>
        <v>СУ-23</v>
      </c>
      <c r="BO11" s="95"/>
      <c r="BP11" s="96"/>
      <c r="BQ11" s="43" t="s">
        <v>191</v>
      </c>
      <c r="BR11" s="95" t="str">
        <f>VLOOKUP(BQ11,SU,2,FALSE)</f>
        <v>СУ-24</v>
      </c>
      <c r="BS11" s="95"/>
      <c r="BT11" s="96"/>
      <c r="BU11" s="82" t="s">
        <v>111</v>
      </c>
      <c r="BV11" s="82" t="s">
        <v>1</v>
      </c>
      <c r="BW11" s="82" t="s">
        <v>3</v>
      </c>
      <c r="BX11" s="83" t="s">
        <v>4</v>
      </c>
      <c r="BY11" s="43" t="s">
        <v>192</v>
      </c>
      <c r="BZ11" s="95" t="str">
        <f>VLOOKUP(BY11,SU,2,FALSE)</f>
        <v>СУ-25</v>
      </c>
      <c r="CA11" s="95"/>
      <c r="CB11" s="96"/>
      <c r="CC11" s="43" t="s">
        <v>193</v>
      </c>
      <c r="CD11" s="95" t="str">
        <f>VLOOKUP(CC11,SU,2,FALSE)</f>
        <v>СУ-26</v>
      </c>
      <c r="CE11" s="95"/>
      <c r="CF11" s="96"/>
      <c r="CG11" s="43" t="s">
        <v>194</v>
      </c>
      <c r="CH11" s="95" t="str">
        <f>VLOOKUP(CG11,SU,2,FALSE)</f>
        <v>СУ-27</v>
      </c>
      <c r="CI11" s="95"/>
      <c r="CJ11" s="96"/>
      <c r="CK11" s="82" t="s">
        <v>111</v>
      </c>
      <c r="CL11" s="82" t="s">
        <v>1</v>
      </c>
      <c r="CM11" s="82" t="s">
        <v>3</v>
      </c>
      <c r="CN11" s="83" t="s">
        <v>4</v>
      </c>
      <c r="CO11" s="43" t="s">
        <v>195</v>
      </c>
      <c r="CP11" s="95" t="str">
        <f>VLOOKUP(CO11,SU,2,FALSE)</f>
        <v>СУ-28</v>
      </c>
      <c r="CQ11" s="95"/>
      <c r="CR11" s="96"/>
      <c r="CS11" s="43" t="s">
        <v>196</v>
      </c>
      <c r="CT11" s="95" t="str">
        <f>VLOOKUP(CS11,SU,2,FALSE)</f>
        <v>СУ-29</v>
      </c>
      <c r="CU11" s="95"/>
      <c r="CV11" s="96"/>
      <c r="CW11" s="43" t="s">
        <v>197</v>
      </c>
      <c r="CX11" s="95" t="str">
        <f>VLOOKUP(CW11,SU,2,FALSE)</f>
        <v>СУ-30</v>
      </c>
      <c r="CY11" s="95"/>
      <c r="CZ11" s="96"/>
      <c r="DA11" s="77"/>
    </row>
    <row r="12" spans="1:105" s="29" customFormat="1" ht="25.5" x14ac:dyDescent="0.25">
      <c r="A12" s="82"/>
      <c r="B12" s="82"/>
      <c r="C12" s="82"/>
      <c r="D12" s="83"/>
      <c r="E12" s="62" t="s">
        <v>115</v>
      </c>
      <c r="F12" s="61" t="s">
        <v>152</v>
      </c>
      <c r="G12" s="62" t="s">
        <v>113</v>
      </c>
      <c r="H12" s="62" t="s">
        <v>114</v>
      </c>
      <c r="I12" s="66"/>
      <c r="J12" s="67"/>
      <c r="K12" s="68"/>
      <c r="L12" s="68"/>
      <c r="M12" s="68"/>
      <c r="N12" s="67"/>
      <c r="O12" s="68"/>
      <c r="P12" s="68"/>
      <c r="Q12" s="82"/>
      <c r="R12" s="82"/>
      <c r="S12" s="82"/>
      <c r="T12" s="83"/>
      <c r="U12" s="77" t="s">
        <v>112</v>
      </c>
      <c r="V12" s="76" t="s">
        <v>152</v>
      </c>
      <c r="W12" s="77" t="s">
        <v>113</v>
      </c>
      <c r="X12" s="77" t="s">
        <v>114</v>
      </c>
      <c r="Y12" s="77" t="s">
        <v>112</v>
      </c>
      <c r="Z12" s="76" t="s">
        <v>152</v>
      </c>
      <c r="AA12" s="77" t="s">
        <v>113</v>
      </c>
      <c r="AB12" s="77" t="s">
        <v>114</v>
      </c>
      <c r="AC12" s="62" t="s">
        <v>112</v>
      </c>
      <c r="AD12" s="61" t="s">
        <v>152</v>
      </c>
      <c r="AE12" s="62" t="s">
        <v>113</v>
      </c>
      <c r="AF12" s="62" t="s">
        <v>114</v>
      </c>
      <c r="AG12" s="62" t="s">
        <v>112</v>
      </c>
      <c r="AH12" s="61" t="s">
        <v>152</v>
      </c>
      <c r="AI12" s="62" t="s">
        <v>113</v>
      </c>
      <c r="AJ12" s="62" t="s">
        <v>114</v>
      </c>
      <c r="AK12" s="62" t="s">
        <v>112</v>
      </c>
      <c r="AL12" s="61" t="s">
        <v>152</v>
      </c>
      <c r="AM12" s="62" t="s">
        <v>113</v>
      </c>
      <c r="AN12" s="62" t="s">
        <v>114</v>
      </c>
      <c r="AO12" s="82"/>
      <c r="AP12" s="82"/>
      <c r="AQ12" s="82"/>
      <c r="AR12" s="83"/>
      <c r="AS12" s="62" t="s">
        <v>112</v>
      </c>
      <c r="AT12" s="61" t="s">
        <v>152</v>
      </c>
      <c r="AU12" s="62" t="s">
        <v>113</v>
      </c>
      <c r="AV12" s="62" t="s">
        <v>114</v>
      </c>
      <c r="AW12" s="62" t="s">
        <v>112</v>
      </c>
      <c r="AX12" s="61" t="s">
        <v>152</v>
      </c>
      <c r="AY12" s="62" t="s">
        <v>113</v>
      </c>
      <c r="AZ12" s="62" t="s">
        <v>114</v>
      </c>
      <c r="BA12" s="62" t="s">
        <v>112</v>
      </c>
      <c r="BB12" s="61" t="s">
        <v>152</v>
      </c>
      <c r="BC12" s="62" t="s">
        <v>113</v>
      </c>
      <c r="BD12" s="62" t="s">
        <v>114</v>
      </c>
      <c r="BE12" s="82"/>
      <c r="BF12" s="82"/>
      <c r="BG12" s="82"/>
      <c r="BH12" s="83"/>
      <c r="BI12" s="62" t="s">
        <v>112</v>
      </c>
      <c r="BJ12" s="61" t="s">
        <v>152</v>
      </c>
      <c r="BK12" s="62" t="s">
        <v>113</v>
      </c>
      <c r="BL12" s="62" t="s">
        <v>114</v>
      </c>
      <c r="BM12" s="62" t="s">
        <v>112</v>
      </c>
      <c r="BN12" s="61" t="s">
        <v>152</v>
      </c>
      <c r="BO12" s="62" t="s">
        <v>113</v>
      </c>
      <c r="BP12" s="62" t="s">
        <v>114</v>
      </c>
      <c r="BQ12" s="62" t="s">
        <v>112</v>
      </c>
      <c r="BR12" s="61" t="s">
        <v>152</v>
      </c>
      <c r="BS12" s="62" t="s">
        <v>113</v>
      </c>
      <c r="BT12" s="62" t="s">
        <v>114</v>
      </c>
      <c r="BU12" s="82"/>
      <c r="BV12" s="82"/>
      <c r="BW12" s="82"/>
      <c r="BX12" s="83"/>
      <c r="BY12" s="62" t="s">
        <v>112</v>
      </c>
      <c r="BZ12" s="61" t="s">
        <v>152</v>
      </c>
      <c r="CA12" s="62" t="s">
        <v>113</v>
      </c>
      <c r="CB12" s="62" t="s">
        <v>114</v>
      </c>
      <c r="CC12" s="62" t="s">
        <v>112</v>
      </c>
      <c r="CD12" s="61" t="s">
        <v>152</v>
      </c>
      <c r="CE12" s="62" t="s">
        <v>113</v>
      </c>
      <c r="CF12" s="62" t="s">
        <v>114</v>
      </c>
      <c r="CG12" s="62" t="s">
        <v>112</v>
      </c>
      <c r="CH12" s="61" t="s">
        <v>152</v>
      </c>
      <c r="CI12" s="62" t="s">
        <v>113</v>
      </c>
      <c r="CJ12" s="62" t="s">
        <v>114</v>
      </c>
      <c r="CK12" s="82"/>
      <c r="CL12" s="82"/>
      <c r="CM12" s="82"/>
      <c r="CN12" s="83"/>
      <c r="CO12" s="62" t="s">
        <v>112</v>
      </c>
      <c r="CP12" s="61" t="s">
        <v>152</v>
      </c>
      <c r="CQ12" s="62" t="s">
        <v>113</v>
      </c>
      <c r="CR12" s="62" t="s">
        <v>114</v>
      </c>
      <c r="CS12" s="62" t="s">
        <v>112</v>
      </c>
      <c r="CT12" s="61" t="s">
        <v>152</v>
      </c>
      <c r="CU12" s="62" t="s">
        <v>113</v>
      </c>
      <c r="CV12" s="62" t="s">
        <v>114</v>
      </c>
      <c r="CW12" s="62" t="s">
        <v>112</v>
      </c>
      <c r="CX12" s="61" t="s">
        <v>152</v>
      </c>
      <c r="CY12" s="62" t="s">
        <v>113</v>
      </c>
      <c r="CZ12" s="62" t="s">
        <v>114</v>
      </c>
      <c r="DA12" s="77" t="s">
        <v>359</v>
      </c>
    </row>
    <row r="13" spans="1:105" s="6" customFormat="1" ht="60" x14ac:dyDescent="0.25">
      <c r="A13" s="25">
        <v>201</v>
      </c>
      <c r="B13" s="11" t="str">
        <f>VLOOKUP($A13,TAB,2,FALSE)</f>
        <v>Бикбулатов Илья Аликович
Стахеев Андрей Владимирович</v>
      </c>
      <c r="C13" s="11" t="str">
        <f>VLOOKUP($A13,TAB,4,FALSE)</f>
        <v>Первоуральск
Первоуральск</v>
      </c>
      <c r="D13" s="11" t="str">
        <f>VLOOKUP($A13,TAB,5,FALSE)</f>
        <v>УАЗ 31512</v>
      </c>
      <c r="E13" s="75">
        <v>6</v>
      </c>
      <c r="F13" s="26"/>
      <c r="G13" s="26">
        <f>VLOOKUP($A13,TAB,70,FALSE)</f>
        <v>81</v>
      </c>
      <c r="H13" s="26">
        <f>VLOOKUP($A13,TAB,101,FALSE)</f>
        <v>81</v>
      </c>
      <c r="I13" s="69"/>
      <c r="J13" s="70"/>
      <c r="K13" s="70"/>
      <c r="L13" s="70"/>
      <c r="M13" s="71"/>
      <c r="N13" s="70"/>
      <c r="O13" s="70"/>
      <c r="P13" s="70"/>
      <c r="Q13" s="25">
        <v>201</v>
      </c>
      <c r="R13" s="11" t="str">
        <f t="shared" ref="R13:R20" si="0">VLOOKUP($Q13,TAB,2,FALSE)</f>
        <v>Бикбулатов Илья Аликович
Стахеев Андрей Владимирович</v>
      </c>
      <c r="S13" s="11" t="str">
        <f t="shared" ref="S13:S20" si="1">VLOOKUP($Q13,TAB,4,FALSE)</f>
        <v>Первоуральск
Первоуральск</v>
      </c>
      <c r="T13" s="11" t="str">
        <f t="shared" ref="T13:T20" si="2">VLOOKUP($Q13,TAB,5,FALSE)</f>
        <v>УАЗ 31512</v>
      </c>
      <c r="U13" s="15">
        <f>VLOOKUP($Q13,TAB,22,FALSE)</f>
        <v>1.7628472222222221E-3</v>
      </c>
      <c r="V13" s="26">
        <f>VLOOKUP($Q13,TAB,52,FALSE)</f>
        <v>30</v>
      </c>
      <c r="W13" s="26">
        <f>VLOOKUP($Q13,TAB,84,FALSE)</f>
        <v>95</v>
      </c>
      <c r="X13" s="26">
        <f>VLOOKUP($Q13,TAB,115,FALSE)</f>
        <v>65</v>
      </c>
      <c r="Y13" s="15">
        <f>VLOOKUP($Q13,TAB,23,FALSE)</f>
        <v>4.3749999999999995E-3</v>
      </c>
      <c r="Z13" s="26">
        <f>VLOOKUP($Q13,TAB,53,FALSE)</f>
        <v>0</v>
      </c>
      <c r="AA13" s="26">
        <f>VLOOKUP($Q13,TAB,85,FALSE)</f>
        <v>90</v>
      </c>
      <c r="AB13" s="26">
        <f>VLOOKUP($Q13,TAB,116,FALSE)</f>
        <v>90</v>
      </c>
      <c r="AC13" s="15">
        <f t="shared" ref="AC13:AC20" si="3">VLOOKUP($Q13,TAB,24,FALSE)</f>
        <v>3.8541666666666668E-3</v>
      </c>
      <c r="AD13" s="26">
        <f t="shared" ref="AD13:AD20" si="4">VLOOKUP($Q13,TAB,54,FALSE)</f>
        <v>0</v>
      </c>
      <c r="AE13" s="26">
        <f t="shared" ref="AE13:AE20" si="5">VLOOKUP($Q13,TAB,86,FALSE)</f>
        <v>87</v>
      </c>
      <c r="AF13" s="26">
        <f t="shared" ref="AF13:AF20" si="6">VLOOKUP($Q13,TAB,117,FALSE)</f>
        <v>87</v>
      </c>
      <c r="AG13" s="15">
        <f t="shared" ref="AG13:AG20" si="7">VLOOKUP($Q13,TAB,25,FALSE)</f>
        <v>0</v>
      </c>
      <c r="AH13" s="26">
        <f t="shared" ref="AH13:AH20" si="8">VLOOKUP($Q13,TAB,55,FALSE)</f>
        <v>0</v>
      </c>
      <c r="AI13" s="26">
        <f t="shared" ref="AI13:AI20" si="9">VLOOKUP($Q13,TAB,87,FALSE)</f>
        <v>0</v>
      </c>
      <c r="AJ13" s="26">
        <f t="shared" ref="AJ13:AJ20" si="10">VLOOKUP($Q13,TAB,118,FALSE)</f>
        <v>0</v>
      </c>
      <c r="AK13" s="15">
        <f t="shared" ref="AK13:AK20" si="11">VLOOKUP($Q13,TAB,26,FALSE)</f>
        <v>0</v>
      </c>
      <c r="AL13" s="26">
        <f t="shared" ref="AL13:AL20" si="12">VLOOKUP($Q13,TAB,56,FALSE)</f>
        <v>0</v>
      </c>
      <c r="AM13" s="26">
        <f t="shared" ref="AM13:AM20" si="13">VLOOKUP($Q13,TAB,88,FALSE)</f>
        <v>0</v>
      </c>
      <c r="AN13" s="26">
        <f t="shared" ref="AN13:AN20" si="14">VLOOKUP($Q13,TAB,119,FALSE)</f>
        <v>0</v>
      </c>
      <c r="AO13" s="25">
        <v>201</v>
      </c>
      <c r="AP13" s="11" t="str">
        <f t="shared" ref="AP13:AP20" si="15">VLOOKUP($AO13,TAB,2,FALSE)</f>
        <v>Бикбулатов Илья Аликович
Стахеев Андрей Владимирович</v>
      </c>
      <c r="AQ13" s="11" t="str">
        <f t="shared" ref="AQ13:AQ20" si="16">VLOOKUP($AO13,TAB,4,FALSE)</f>
        <v>Первоуральск
Первоуральск</v>
      </c>
      <c r="AR13" s="11" t="str">
        <f t="shared" ref="AR13:AR20" si="17">VLOOKUP($AO13,TAB,3,FALSE)</f>
        <v>183629
183930</v>
      </c>
      <c r="AS13" s="15" t="str">
        <f t="shared" ref="AS13:AS20" si="18">VLOOKUP($AO13,TAB,27,FALSE)</f>
        <v>DNF</v>
      </c>
      <c r="AT13" s="26">
        <f t="shared" ref="AT13:AT20" si="19">VLOOKUP($AO13,TAB,57,FALSE)</f>
        <v>0</v>
      </c>
      <c r="AU13" s="26">
        <f t="shared" ref="AU13:AU20" si="20">VLOOKUP($AO13,TAB,89,FALSE)</f>
        <v>20</v>
      </c>
      <c r="AV13" s="26">
        <f t="shared" ref="AV13:AV20" si="21">VLOOKUP($AO13,TAB,120,FALSE)</f>
        <v>20</v>
      </c>
      <c r="AW13" s="15">
        <f t="shared" ref="AW13:AW20" si="22">VLOOKUP($AO13,TAB,28,FALSE)</f>
        <v>3.3564814814814811E-3</v>
      </c>
      <c r="AX13" s="26">
        <f t="shared" ref="AX13:AX20" si="23">VLOOKUP($AO13,TAB,58,FALSE)</f>
        <v>10</v>
      </c>
      <c r="AY13" s="26">
        <f t="shared" ref="AY13:AY20" si="24">VLOOKUP($AO13,TAB,90,FALSE)</f>
        <v>90</v>
      </c>
      <c r="AZ13" s="26">
        <f t="shared" ref="AZ13:AZ20" si="25">VLOOKUP($AO13,TAB,121,FALSE)</f>
        <v>80</v>
      </c>
      <c r="BA13" s="15">
        <f t="shared" ref="BA13:BA20" si="26">VLOOKUP($AO13,TAB,29,FALSE)</f>
        <v>0</v>
      </c>
      <c r="BB13" s="26">
        <f t="shared" ref="BB13:BB20" si="27">VLOOKUP($AO13,TAB,59,FALSE)</f>
        <v>0</v>
      </c>
      <c r="BC13" s="26">
        <f>VLOOKUP($AO13,TAB,91,FALSE)</f>
        <v>0</v>
      </c>
      <c r="BD13" s="26">
        <f t="shared" ref="BD13:BD20" si="28">VLOOKUP($AO13,TAB,122,FALSE)</f>
        <v>0</v>
      </c>
      <c r="BE13" s="25">
        <v>201</v>
      </c>
      <c r="BF13" s="11" t="str">
        <f t="shared" ref="BF13:BF20" si="29">VLOOKUP($BE13,TAB,2,FALSE)</f>
        <v>Бикбулатов Илья Аликович
Стахеев Андрей Владимирович</v>
      </c>
      <c r="BG13" s="11" t="str">
        <f t="shared" ref="BG13:BG20" si="30">VLOOKUP($BE13,TAB,4,FALSE)</f>
        <v>Первоуральск
Первоуральск</v>
      </c>
      <c r="BH13" s="11" t="str">
        <f t="shared" ref="BH13:BH20" si="31">VLOOKUP($BE13,TAB,5,FALSE)</f>
        <v>УАЗ 31512</v>
      </c>
      <c r="BI13" s="15">
        <f t="shared" ref="BI13:BI20" si="32">VLOOKUP($BE13,TAB,30,FALSE)</f>
        <v>0</v>
      </c>
      <c r="BJ13" s="26">
        <f t="shared" ref="BJ13:BJ20" si="33">VLOOKUP($BE13,TAB,60,FALSE)</f>
        <v>0</v>
      </c>
      <c r="BK13" s="26">
        <f t="shared" ref="BK13:BK20" si="34">VLOOKUP($BE13,TAB,92,FALSE)</f>
        <v>0</v>
      </c>
      <c r="BL13" s="26">
        <f t="shared" ref="BL13:BL20" si="35">VLOOKUP($BE13,TAB,123,FALSE)</f>
        <v>0</v>
      </c>
      <c r="BM13" s="15">
        <f t="shared" ref="BM13:BM20" si="36">VLOOKUP($BE13,TAB,31,FALSE)</f>
        <v>3.8071759259259257E-3</v>
      </c>
      <c r="BN13" s="26">
        <f t="shared" ref="BN13:BN20" si="37">VLOOKUP($BE13,TAB,61,FALSE)</f>
        <v>0</v>
      </c>
      <c r="BO13" s="26">
        <f t="shared" ref="BO13:BO20" si="38">VLOOKUP($BE13,TAB,93,FALSE)</f>
        <v>87</v>
      </c>
      <c r="BP13" s="26">
        <f t="shared" ref="BP13:BP20" si="39">VLOOKUP($BE13,TAB,124,FALSE)</f>
        <v>87</v>
      </c>
      <c r="BQ13" s="15">
        <f t="shared" ref="BQ13:BQ20" si="40">VLOOKUP($BE13,TAB,32,FALSE)</f>
        <v>0</v>
      </c>
      <c r="BR13" s="26">
        <f t="shared" ref="BR13:BR20" si="41">VLOOKUP($BE13,TAB,62,FALSE)</f>
        <v>0</v>
      </c>
      <c r="BS13" s="26">
        <f t="shared" ref="BS13:BS20" si="42">VLOOKUP($BE13,TAB,94,FALSE)</f>
        <v>0</v>
      </c>
      <c r="BT13" s="26">
        <f t="shared" ref="BT13:BT20" si="43">VLOOKUP($BE13,TAB,125,FALSE)</f>
        <v>0</v>
      </c>
      <c r="BU13" s="25">
        <v>201</v>
      </c>
      <c r="BV13" s="11" t="str">
        <f t="shared" ref="BV13:BV20" si="44">VLOOKUP($BU13,TAB,2,FALSE)</f>
        <v>Бикбулатов Илья Аликович
Стахеев Андрей Владимирович</v>
      </c>
      <c r="BW13" s="11" t="str">
        <f t="shared" ref="BW13:BW20" si="45">VLOOKUP($BU13,TAB,4,FALSE)</f>
        <v>Первоуральск
Первоуральск</v>
      </c>
      <c r="BX13" s="11" t="str">
        <f t="shared" ref="BX13:BX20" si="46">VLOOKUP($BU13,TAB,5,FALSE)</f>
        <v>УАЗ 31512</v>
      </c>
      <c r="BY13" s="15" t="str">
        <f t="shared" ref="BY13:BY20" si="47">VLOOKUP($BU13,TAB,33,FALSE)</f>
        <v>DNF</v>
      </c>
      <c r="BZ13" s="26">
        <f t="shared" ref="BZ13:BZ20" si="48">VLOOKUP($BU13,TAB,63,FALSE)</f>
        <v>0</v>
      </c>
      <c r="CA13" s="26">
        <f t="shared" ref="CA13:CA20" si="49">VLOOKUP($BU13,TAB,95,FALSE)</f>
        <v>20</v>
      </c>
      <c r="CB13" s="26">
        <f t="shared" ref="CB13:CB20" si="50">VLOOKUP($BU13,TAB,126,FALSE)</f>
        <v>20</v>
      </c>
      <c r="CC13" s="15">
        <f t="shared" ref="CC13:CC20" si="51">VLOOKUP($BU13,TAB,34,FALSE)</f>
        <v>5.7407407407407416E-3</v>
      </c>
      <c r="CD13" s="26">
        <f t="shared" ref="CD13:CD20" si="52">VLOOKUP($BU13,TAB,64,FALSE)</f>
        <v>30</v>
      </c>
      <c r="CE13" s="26">
        <f t="shared" ref="CE13:CE20" si="53">VLOOKUP($BU13,TAB,96,FALSE)</f>
        <v>84</v>
      </c>
      <c r="CF13" s="26">
        <f t="shared" ref="CF13:CF20" si="54">VLOOKUP($BU13,TAB,127,FALSE)</f>
        <v>54</v>
      </c>
      <c r="CG13" s="15" t="str">
        <f t="shared" ref="CG13:CG20" si="55">VLOOKUP($BU13,TAB,35,FALSE)</f>
        <v>DNF</v>
      </c>
      <c r="CH13" s="26">
        <f t="shared" ref="CH13:CH20" si="56">VLOOKUP($BU13,TAB,65,FALSE)</f>
        <v>0</v>
      </c>
      <c r="CI13" s="26">
        <f t="shared" ref="CI13:CI20" si="57">VLOOKUP($BU13,TAB,97,FALSE)</f>
        <v>20</v>
      </c>
      <c r="CJ13" s="26">
        <f t="shared" ref="CJ13:CJ20" si="58">VLOOKUP($BU13,TAB,128,FALSE)</f>
        <v>20</v>
      </c>
      <c r="CK13" s="25">
        <v>201</v>
      </c>
      <c r="CL13" s="11" t="str">
        <f t="shared" ref="CL13:CL20" si="59">VLOOKUP($CK13,TAB,2,FALSE)</f>
        <v>Бикбулатов Илья Аликович
Стахеев Андрей Владимирович</v>
      </c>
      <c r="CM13" s="11" t="str">
        <f t="shared" ref="CM13:CM20" si="60">VLOOKUP($CK13,TAB,4,FALSE)</f>
        <v>Первоуральск
Первоуральск</v>
      </c>
      <c r="CN13" s="11" t="str">
        <f t="shared" ref="CN13:CN20" si="61">VLOOKUP($CK13,TAB,5,FALSE)</f>
        <v>УАЗ 31512</v>
      </c>
      <c r="CO13" s="15">
        <f t="shared" ref="CO13:CO20" si="62">VLOOKUP($CK13,TAB,36,FALSE)</f>
        <v>5.162037037037037E-3</v>
      </c>
      <c r="CP13" s="26">
        <f t="shared" ref="CP13:CP20" si="63">VLOOKUP($CK13,TAB,66,FALSE)</f>
        <v>0</v>
      </c>
      <c r="CQ13" s="26">
        <f t="shared" ref="CQ13:CQ20" si="64">VLOOKUP($CK13,TAB,98,FALSE)</f>
        <v>87</v>
      </c>
      <c r="CR13" s="26">
        <f t="shared" ref="CR13:CR20" si="65">VLOOKUP($CK13,TAB,129,FALSE)</f>
        <v>87</v>
      </c>
      <c r="CS13" s="15">
        <f t="shared" ref="CS13:CS20" si="66">VLOOKUP($CK13,TAB,37,FALSE)</f>
        <v>0</v>
      </c>
      <c r="CT13" s="26">
        <f t="shared" ref="CT13:CT20" si="67">VLOOKUP($CK13,TAB,67,FALSE)</f>
        <v>0</v>
      </c>
      <c r="CU13" s="26">
        <f t="shared" ref="CU13:CU20" si="68">VLOOKUP($CK13,TAB,99,FALSE)</f>
        <v>0</v>
      </c>
      <c r="CV13" s="26">
        <f t="shared" ref="CV13:CV20" si="69">VLOOKUP($CK13,TAB,130,FALSE)</f>
        <v>0</v>
      </c>
      <c r="CW13" s="15">
        <f t="shared" ref="CW13:CW20" si="70">VLOOKUP($CK13,TAB,38,FALSE)</f>
        <v>0</v>
      </c>
      <c r="CX13" s="26">
        <f t="shared" ref="CX13:CX20" si="71">VLOOKUP($CK13,TAB,68,FALSE)</f>
        <v>0</v>
      </c>
      <c r="CY13" s="26">
        <f t="shared" ref="CY13:CY20" si="72">VLOOKUP($CK13,TAB,100,FALSE)</f>
        <v>0</v>
      </c>
      <c r="CZ13" s="26">
        <f t="shared" ref="CZ13:CZ20" si="73">VLOOKUP($CK13,TAB,131,FALSE)</f>
        <v>0</v>
      </c>
      <c r="DA13" s="11">
        <f>CV13+CR13+CJ13+CF13+CB13+BT13+BP13+BL13+BD13+AZ13+AV13+AN13+AJ13+AF13+AB13+X13+H13</f>
        <v>691</v>
      </c>
    </row>
    <row r="14" spans="1:105" s="6" customFormat="1" ht="60" x14ac:dyDescent="0.25">
      <c r="A14" s="25">
        <v>202</v>
      </c>
      <c r="B14" s="11" t="str">
        <f>VLOOKUP($A14,TAB,2,FALSE)</f>
        <v>Клейн Александр Алексеевич
Манион Сергей Игоревич</v>
      </c>
      <c r="C14" s="11" t="str">
        <f>VLOOKUP($A14,TAB,4,FALSE)</f>
        <v>Екатеринбург
Екатеринбург</v>
      </c>
      <c r="D14" s="11" t="str">
        <f>VLOOKUP($A14,TAB,5,FALSE)</f>
        <v>TLC 70</v>
      </c>
      <c r="E14" s="75">
        <v>2</v>
      </c>
      <c r="F14" s="26"/>
      <c r="G14" s="26">
        <f>VLOOKUP($A14,TAB,70,FALSE)</f>
        <v>95</v>
      </c>
      <c r="H14" s="26">
        <f>VLOOKUP($A14,TAB,101,FALSE)</f>
        <v>95</v>
      </c>
      <c r="I14" s="69"/>
      <c r="J14" s="70"/>
      <c r="K14" s="70"/>
      <c r="L14" s="70"/>
      <c r="M14" s="71"/>
      <c r="N14" s="70"/>
      <c r="O14" s="70"/>
      <c r="P14" s="70"/>
      <c r="Q14" s="25">
        <v>202</v>
      </c>
      <c r="R14" s="11" t="str">
        <f t="shared" si="0"/>
        <v>Клейн Александр Алексеевич
Манион Сергей Игоревич</v>
      </c>
      <c r="S14" s="11" t="str">
        <f t="shared" si="1"/>
        <v>Екатеринбург
Екатеринбург</v>
      </c>
      <c r="T14" s="11" t="str">
        <f t="shared" si="2"/>
        <v>TLC 70</v>
      </c>
      <c r="U14" s="15">
        <f>VLOOKUP($Q14,TAB,22,FALSE)</f>
        <v>3.2638888888888891E-3</v>
      </c>
      <c r="V14" s="26">
        <f>VLOOKUP($Q14,TAB,52,FALSE)</f>
        <v>0</v>
      </c>
      <c r="W14" s="26">
        <f>VLOOKUP($Q14,TAB,84,FALSE)</f>
        <v>84</v>
      </c>
      <c r="X14" s="26">
        <f>VLOOKUP($Q14,TAB,115,FALSE)</f>
        <v>84</v>
      </c>
      <c r="Y14" s="15">
        <f>VLOOKUP($Q14,TAB,23,FALSE)</f>
        <v>4.2476851851851851E-3</v>
      </c>
      <c r="Z14" s="26">
        <f>VLOOKUP($Q14,TAB,53,FALSE)</f>
        <v>30</v>
      </c>
      <c r="AA14" s="26">
        <f>VLOOKUP($Q14,TAB,85,FALSE)</f>
        <v>95</v>
      </c>
      <c r="AB14" s="26">
        <f>VLOOKUP($Q14,TAB,116,FALSE)</f>
        <v>65</v>
      </c>
      <c r="AC14" s="15">
        <f t="shared" si="3"/>
        <v>3.0902777777777782E-3</v>
      </c>
      <c r="AD14" s="26">
        <f t="shared" si="4"/>
        <v>0</v>
      </c>
      <c r="AE14" s="26">
        <f t="shared" si="5"/>
        <v>90</v>
      </c>
      <c r="AF14" s="26">
        <f t="shared" si="6"/>
        <v>90</v>
      </c>
      <c r="AG14" s="15">
        <f t="shared" si="7"/>
        <v>2.0717592592592593E-3</v>
      </c>
      <c r="AH14" s="26">
        <f t="shared" si="8"/>
        <v>0</v>
      </c>
      <c r="AI14" s="26">
        <f t="shared" si="9"/>
        <v>84</v>
      </c>
      <c r="AJ14" s="26">
        <f t="shared" si="10"/>
        <v>84</v>
      </c>
      <c r="AK14" s="15">
        <f t="shared" si="11"/>
        <v>3.0924768518518515E-3</v>
      </c>
      <c r="AL14" s="26">
        <f t="shared" si="12"/>
        <v>0</v>
      </c>
      <c r="AM14" s="26">
        <f t="shared" si="13"/>
        <v>95</v>
      </c>
      <c r="AN14" s="26">
        <f t="shared" si="14"/>
        <v>95</v>
      </c>
      <c r="AO14" s="25">
        <v>202</v>
      </c>
      <c r="AP14" s="11" t="str">
        <f t="shared" si="15"/>
        <v>Клейн Александр Алексеевич
Манион Сергей Игоревич</v>
      </c>
      <c r="AQ14" s="11" t="str">
        <f t="shared" si="16"/>
        <v>Екатеринбург
Екатеринбург</v>
      </c>
      <c r="AR14" s="11" t="str">
        <f t="shared" si="17"/>
        <v>D 170740</v>
      </c>
      <c r="AS14" s="15">
        <f t="shared" si="18"/>
        <v>6.5162037037037037E-3</v>
      </c>
      <c r="AT14" s="26">
        <f t="shared" si="19"/>
        <v>0</v>
      </c>
      <c r="AU14" s="26">
        <f t="shared" si="20"/>
        <v>90</v>
      </c>
      <c r="AV14" s="26">
        <f t="shared" si="21"/>
        <v>90</v>
      </c>
      <c r="AW14" s="15">
        <f t="shared" si="22"/>
        <v>2.7777777777777779E-3</v>
      </c>
      <c r="AX14" s="26">
        <f t="shared" si="23"/>
        <v>0</v>
      </c>
      <c r="AY14" s="26">
        <f t="shared" si="24"/>
        <v>100</v>
      </c>
      <c r="AZ14" s="26">
        <f t="shared" si="25"/>
        <v>100</v>
      </c>
      <c r="BA14" s="15">
        <f t="shared" si="26"/>
        <v>2.2370370370370369E-3</v>
      </c>
      <c r="BB14" s="26">
        <f t="shared" si="27"/>
        <v>0</v>
      </c>
      <c r="BC14" s="26">
        <f>VLOOKUP($AO14,TAB,91,FALSE)</f>
        <v>95</v>
      </c>
      <c r="BD14" s="26">
        <f t="shared" si="28"/>
        <v>95</v>
      </c>
      <c r="BE14" s="25">
        <v>202</v>
      </c>
      <c r="BF14" s="11" t="str">
        <f t="shared" si="29"/>
        <v>Клейн Александр Алексеевич
Манион Сергей Игоревич</v>
      </c>
      <c r="BG14" s="11" t="str">
        <f t="shared" si="30"/>
        <v>Екатеринбург
Екатеринбург</v>
      </c>
      <c r="BH14" s="11" t="str">
        <f t="shared" si="31"/>
        <v>TLC 70</v>
      </c>
      <c r="BI14" s="15">
        <f t="shared" si="32"/>
        <v>4.4444444444444444E-3</v>
      </c>
      <c r="BJ14" s="26">
        <f t="shared" si="33"/>
        <v>0</v>
      </c>
      <c r="BK14" s="26">
        <f t="shared" si="34"/>
        <v>100</v>
      </c>
      <c r="BL14" s="26">
        <f t="shared" si="35"/>
        <v>100</v>
      </c>
      <c r="BM14" s="15">
        <f t="shared" si="36"/>
        <v>1.4605324074074076E-3</v>
      </c>
      <c r="BN14" s="26">
        <f t="shared" si="37"/>
        <v>0</v>
      </c>
      <c r="BO14" s="26">
        <f t="shared" si="38"/>
        <v>95</v>
      </c>
      <c r="BP14" s="26">
        <f t="shared" si="39"/>
        <v>95</v>
      </c>
      <c r="BQ14" s="15">
        <f t="shared" si="40"/>
        <v>2.7777777777777779E-3</v>
      </c>
      <c r="BR14" s="26">
        <f t="shared" si="41"/>
        <v>0</v>
      </c>
      <c r="BS14" s="26">
        <f t="shared" si="42"/>
        <v>84</v>
      </c>
      <c r="BT14" s="26">
        <f t="shared" si="43"/>
        <v>84</v>
      </c>
      <c r="BU14" s="25">
        <v>202</v>
      </c>
      <c r="BV14" s="11" t="str">
        <f t="shared" si="44"/>
        <v>Клейн Александр Алексеевич
Манион Сергей Игоревич</v>
      </c>
      <c r="BW14" s="11" t="str">
        <f t="shared" si="45"/>
        <v>Екатеринбург
Екатеринбург</v>
      </c>
      <c r="BX14" s="11" t="str">
        <f t="shared" si="46"/>
        <v>TLC 70</v>
      </c>
      <c r="BY14" s="15">
        <f t="shared" si="47"/>
        <v>4.2476851851851851E-3</v>
      </c>
      <c r="BZ14" s="26">
        <f t="shared" si="48"/>
        <v>10</v>
      </c>
      <c r="CA14" s="26">
        <f t="shared" si="49"/>
        <v>100</v>
      </c>
      <c r="CB14" s="26">
        <f t="shared" si="50"/>
        <v>90</v>
      </c>
      <c r="CC14" s="15">
        <f t="shared" si="51"/>
        <v>1.2962962962962963E-3</v>
      </c>
      <c r="CD14" s="26">
        <f t="shared" si="52"/>
        <v>0</v>
      </c>
      <c r="CE14" s="26">
        <f t="shared" si="53"/>
        <v>100</v>
      </c>
      <c r="CF14" s="26">
        <f t="shared" si="54"/>
        <v>100</v>
      </c>
      <c r="CG14" s="15">
        <f t="shared" si="55"/>
        <v>3.4606481481481485E-3</v>
      </c>
      <c r="CH14" s="26">
        <f t="shared" si="56"/>
        <v>0</v>
      </c>
      <c r="CI14" s="26">
        <f t="shared" si="57"/>
        <v>95</v>
      </c>
      <c r="CJ14" s="26">
        <f t="shared" si="58"/>
        <v>95</v>
      </c>
      <c r="CK14" s="25">
        <v>202</v>
      </c>
      <c r="CL14" s="11" t="str">
        <f t="shared" si="59"/>
        <v>Клейн Александр Алексеевич
Манион Сергей Игоревич</v>
      </c>
      <c r="CM14" s="11" t="str">
        <f t="shared" si="60"/>
        <v>Екатеринбург
Екатеринбург</v>
      </c>
      <c r="CN14" s="11" t="str">
        <f t="shared" si="61"/>
        <v>TLC 70</v>
      </c>
      <c r="CO14" s="15">
        <f t="shared" si="62"/>
        <v>3.0439814814814821E-3</v>
      </c>
      <c r="CP14" s="26">
        <f t="shared" si="63"/>
        <v>0</v>
      </c>
      <c r="CQ14" s="26">
        <f t="shared" si="64"/>
        <v>100</v>
      </c>
      <c r="CR14" s="26">
        <f t="shared" si="65"/>
        <v>100</v>
      </c>
      <c r="CS14" s="15">
        <f t="shared" si="66"/>
        <v>6.1574074074074074E-3</v>
      </c>
      <c r="CT14" s="26">
        <f t="shared" si="67"/>
        <v>0</v>
      </c>
      <c r="CU14" s="26">
        <f t="shared" si="68"/>
        <v>90</v>
      </c>
      <c r="CV14" s="26">
        <f t="shared" si="69"/>
        <v>90</v>
      </c>
      <c r="CW14" s="15">
        <f t="shared" si="70"/>
        <v>0</v>
      </c>
      <c r="CX14" s="26">
        <f t="shared" si="71"/>
        <v>0</v>
      </c>
      <c r="CY14" s="26">
        <f t="shared" si="72"/>
        <v>0</v>
      </c>
      <c r="CZ14" s="26">
        <f t="shared" si="73"/>
        <v>0</v>
      </c>
      <c r="DA14" s="11">
        <f t="shared" ref="DA14:DA20" si="74">CV14+CR14+CJ14+CF14+CB14+BT14+BP14+BL14+BD14+AZ14+AV14+AN14+AJ14+AF14+AB14+X14+H14</f>
        <v>1552</v>
      </c>
    </row>
    <row r="15" spans="1:105" s="6" customFormat="1" ht="60" x14ac:dyDescent="0.25">
      <c r="A15" s="25">
        <v>203</v>
      </c>
      <c r="B15" s="11" t="str">
        <f>VLOOKUP($A15,TAB,2,FALSE)</f>
        <v>Павелин Евгений Модестович
Давыдов Сергей Владимирович</v>
      </c>
      <c r="C15" s="11" t="str">
        <f>VLOOKUP($A15,TAB,4,FALSE)</f>
        <v>Екатеринбург
Екатеринбург</v>
      </c>
      <c r="D15" s="11" t="str">
        <f>VLOOKUP($A15,TAB,5,FALSE)</f>
        <v>TLC 70</v>
      </c>
      <c r="E15" s="75">
        <v>3</v>
      </c>
      <c r="F15" s="26"/>
      <c r="G15" s="26">
        <f>VLOOKUP($A15,TAB,70,FALSE)</f>
        <v>90</v>
      </c>
      <c r="H15" s="26">
        <f>VLOOKUP($A15,TAB,101,FALSE)</f>
        <v>90</v>
      </c>
      <c r="I15" s="69"/>
      <c r="J15" s="70"/>
      <c r="K15" s="70"/>
      <c r="L15" s="70"/>
      <c r="M15" s="71"/>
      <c r="N15" s="70"/>
      <c r="O15" s="70"/>
      <c r="P15" s="70"/>
      <c r="Q15" s="25">
        <v>203</v>
      </c>
      <c r="R15" s="11" t="str">
        <f t="shared" si="0"/>
        <v>Павелин Евгений Модестович
Давыдов Сергей Владимирович</v>
      </c>
      <c r="S15" s="11" t="str">
        <f t="shared" si="1"/>
        <v>Екатеринбург
Екатеринбург</v>
      </c>
      <c r="T15" s="11" t="str">
        <f t="shared" si="2"/>
        <v>TLC 70</v>
      </c>
      <c r="U15" s="15">
        <f>VLOOKUP($Q15,TAB,22,FALSE)</f>
        <v>0</v>
      </c>
      <c r="V15" s="26">
        <f>VLOOKUP($Q15,TAB,52,FALSE)</f>
        <v>0</v>
      </c>
      <c r="W15" s="26">
        <f>VLOOKUP($Q15,TAB,84,FALSE)</f>
        <v>0</v>
      </c>
      <c r="X15" s="26">
        <f>VLOOKUP($Q15,TAB,115,FALSE)</f>
        <v>0</v>
      </c>
      <c r="Y15" s="15">
        <f>VLOOKUP($Q15,TAB,23,FALSE)</f>
        <v>0</v>
      </c>
      <c r="Z15" s="26">
        <f>VLOOKUP($Q15,TAB,53,FALSE)</f>
        <v>0</v>
      </c>
      <c r="AA15" s="26">
        <f>VLOOKUP($Q15,TAB,85,FALSE)</f>
        <v>0</v>
      </c>
      <c r="AB15" s="26">
        <f>VLOOKUP($Q15,TAB,116,FALSE)</f>
        <v>0</v>
      </c>
      <c r="AC15" s="15">
        <f t="shared" si="3"/>
        <v>0</v>
      </c>
      <c r="AD15" s="26">
        <f t="shared" si="4"/>
        <v>0</v>
      </c>
      <c r="AE15" s="26">
        <f t="shared" si="5"/>
        <v>0</v>
      </c>
      <c r="AF15" s="26">
        <f t="shared" si="6"/>
        <v>0</v>
      </c>
      <c r="AG15" s="15">
        <f t="shared" si="7"/>
        <v>2.1412037037037038E-3</v>
      </c>
      <c r="AH15" s="26">
        <f t="shared" si="8"/>
        <v>0</v>
      </c>
      <c r="AI15" s="26">
        <f t="shared" si="9"/>
        <v>81</v>
      </c>
      <c r="AJ15" s="26">
        <f t="shared" si="10"/>
        <v>81</v>
      </c>
      <c r="AK15" s="15" t="str">
        <f t="shared" si="11"/>
        <v>DNF</v>
      </c>
      <c r="AL15" s="26">
        <f t="shared" si="12"/>
        <v>0</v>
      </c>
      <c r="AM15" s="26">
        <f t="shared" si="13"/>
        <v>20</v>
      </c>
      <c r="AN15" s="26">
        <f t="shared" si="14"/>
        <v>20</v>
      </c>
      <c r="AO15" s="25">
        <v>203</v>
      </c>
      <c r="AP15" s="11" t="str">
        <f t="shared" si="15"/>
        <v>Павелин Евгений Модестович
Давыдов Сергей Владимирович</v>
      </c>
      <c r="AQ15" s="11" t="str">
        <f t="shared" si="16"/>
        <v>Екатеринбург
Екатеринбург</v>
      </c>
      <c r="AR15" s="11" t="str">
        <f t="shared" si="17"/>
        <v>есть
есть</v>
      </c>
      <c r="AS15" s="15">
        <f t="shared" si="18"/>
        <v>0</v>
      </c>
      <c r="AT15" s="26">
        <f t="shared" si="19"/>
        <v>0</v>
      </c>
      <c r="AU15" s="26">
        <f t="shared" si="20"/>
        <v>0</v>
      </c>
      <c r="AV15" s="26">
        <f t="shared" si="21"/>
        <v>0</v>
      </c>
      <c r="AW15" s="15">
        <f t="shared" si="22"/>
        <v>0</v>
      </c>
      <c r="AX15" s="26">
        <f t="shared" si="23"/>
        <v>0</v>
      </c>
      <c r="AY15" s="26">
        <f t="shared" si="24"/>
        <v>0</v>
      </c>
      <c r="AZ15" s="26">
        <f t="shared" si="25"/>
        <v>0</v>
      </c>
      <c r="BA15" s="15" t="str">
        <f t="shared" si="26"/>
        <v>DNF</v>
      </c>
      <c r="BB15" s="26">
        <f t="shared" si="27"/>
        <v>0</v>
      </c>
      <c r="BC15" s="26">
        <f>VLOOKUP($AO15,TAB,91,FALSE)</f>
        <v>20</v>
      </c>
      <c r="BD15" s="26">
        <f t="shared" si="28"/>
        <v>20</v>
      </c>
      <c r="BE15" s="25">
        <v>203</v>
      </c>
      <c r="BF15" s="11" t="str">
        <f t="shared" si="29"/>
        <v>Павелин Евгений Модестович
Давыдов Сергей Владимирович</v>
      </c>
      <c r="BG15" s="11" t="str">
        <f t="shared" si="30"/>
        <v>Екатеринбург
Екатеринбург</v>
      </c>
      <c r="BH15" s="11" t="str">
        <f t="shared" si="31"/>
        <v>TLC 70</v>
      </c>
      <c r="BI15" s="15" t="str">
        <f t="shared" si="32"/>
        <v>DNF</v>
      </c>
      <c r="BJ15" s="26">
        <f t="shared" si="33"/>
        <v>0</v>
      </c>
      <c r="BK15" s="26">
        <f t="shared" si="34"/>
        <v>20</v>
      </c>
      <c r="BL15" s="26">
        <f t="shared" si="35"/>
        <v>20</v>
      </c>
      <c r="BM15" s="15">
        <f t="shared" si="36"/>
        <v>0</v>
      </c>
      <c r="BN15" s="26">
        <f t="shared" si="37"/>
        <v>0</v>
      </c>
      <c r="BO15" s="26">
        <f t="shared" si="38"/>
        <v>0</v>
      </c>
      <c r="BP15" s="26">
        <f t="shared" si="39"/>
        <v>0</v>
      </c>
      <c r="BQ15" s="15">
        <f t="shared" si="40"/>
        <v>1.5947916666666664E-3</v>
      </c>
      <c r="BR15" s="26">
        <f t="shared" si="41"/>
        <v>0</v>
      </c>
      <c r="BS15" s="26">
        <f t="shared" si="42"/>
        <v>95</v>
      </c>
      <c r="BT15" s="26">
        <f t="shared" si="43"/>
        <v>95</v>
      </c>
      <c r="BU15" s="25">
        <v>203</v>
      </c>
      <c r="BV15" s="11" t="str">
        <f t="shared" si="44"/>
        <v>Павелин Евгений Модестович
Давыдов Сергей Владимирович</v>
      </c>
      <c r="BW15" s="11" t="str">
        <f t="shared" si="45"/>
        <v>Екатеринбург
Екатеринбург</v>
      </c>
      <c r="BX15" s="11" t="str">
        <f t="shared" si="46"/>
        <v>TLC 70</v>
      </c>
      <c r="BY15" s="15">
        <f t="shared" si="47"/>
        <v>0</v>
      </c>
      <c r="BZ15" s="26">
        <f t="shared" si="48"/>
        <v>0</v>
      </c>
      <c r="CA15" s="26">
        <f t="shared" si="49"/>
        <v>0</v>
      </c>
      <c r="CB15" s="26">
        <f t="shared" si="50"/>
        <v>0</v>
      </c>
      <c r="CC15" s="15">
        <f t="shared" si="51"/>
        <v>0</v>
      </c>
      <c r="CD15" s="26">
        <f t="shared" si="52"/>
        <v>0</v>
      </c>
      <c r="CE15" s="26">
        <f t="shared" si="53"/>
        <v>0</v>
      </c>
      <c r="CF15" s="26">
        <f t="shared" si="54"/>
        <v>0</v>
      </c>
      <c r="CG15" s="15">
        <f t="shared" si="55"/>
        <v>0</v>
      </c>
      <c r="CH15" s="26">
        <f t="shared" si="56"/>
        <v>0</v>
      </c>
      <c r="CI15" s="26">
        <f t="shared" si="57"/>
        <v>0</v>
      </c>
      <c r="CJ15" s="26">
        <f t="shared" si="58"/>
        <v>0</v>
      </c>
      <c r="CK15" s="25">
        <v>203</v>
      </c>
      <c r="CL15" s="11" t="str">
        <f t="shared" si="59"/>
        <v>Павелин Евгений Модестович
Давыдов Сергей Владимирович</v>
      </c>
      <c r="CM15" s="11" t="str">
        <f t="shared" si="60"/>
        <v>Екатеринбург
Екатеринбург</v>
      </c>
      <c r="CN15" s="11" t="str">
        <f t="shared" si="61"/>
        <v>TLC 70</v>
      </c>
      <c r="CO15" s="15">
        <f t="shared" si="62"/>
        <v>0</v>
      </c>
      <c r="CP15" s="26">
        <f t="shared" si="63"/>
        <v>0</v>
      </c>
      <c r="CQ15" s="26">
        <f t="shared" si="64"/>
        <v>0</v>
      </c>
      <c r="CR15" s="26">
        <f t="shared" si="65"/>
        <v>0</v>
      </c>
      <c r="CS15" s="15" t="str">
        <f t="shared" si="66"/>
        <v>DNF</v>
      </c>
      <c r="CT15" s="26">
        <f t="shared" si="67"/>
        <v>0</v>
      </c>
      <c r="CU15" s="26">
        <f t="shared" si="68"/>
        <v>20</v>
      </c>
      <c r="CV15" s="26">
        <f t="shared" si="69"/>
        <v>20</v>
      </c>
      <c r="CW15" s="15">
        <f t="shared" si="70"/>
        <v>0</v>
      </c>
      <c r="CX15" s="26">
        <f t="shared" si="71"/>
        <v>0</v>
      </c>
      <c r="CY15" s="26">
        <f t="shared" si="72"/>
        <v>0</v>
      </c>
      <c r="CZ15" s="26">
        <f t="shared" si="73"/>
        <v>0</v>
      </c>
      <c r="DA15" s="11">
        <f t="shared" si="74"/>
        <v>346</v>
      </c>
    </row>
    <row r="16" spans="1:105" s="6" customFormat="1" ht="60" x14ac:dyDescent="0.25">
      <c r="A16" s="25">
        <v>204</v>
      </c>
      <c r="B16" s="11" t="str">
        <f>VLOOKUP($A16,TAB,2,FALSE)</f>
        <v>Пелевин Евгений Сергеевич
Прочуханов Игорь Игоревич</v>
      </c>
      <c r="C16" s="11" t="str">
        <f>VLOOKUP($A16,TAB,4,FALSE)</f>
        <v>Полевской
Ревда</v>
      </c>
      <c r="D16" s="11" t="str">
        <f>VLOOKUP($A16,TAB,5,FALSE)</f>
        <v>Нива 21213</v>
      </c>
      <c r="E16" s="75">
        <v>1</v>
      </c>
      <c r="F16" s="26"/>
      <c r="G16" s="26">
        <f>VLOOKUP($A16,TAB,70,FALSE)</f>
        <v>100</v>
      </c>
      <c r="H16" s="26">
        <f>VLOOKUP($A16,TAB,101,FALSE)</f>
        <v>100</v>
      </c>
      <c r="I16" s="69"/>
      <c r="J16" s="70"/>
      <c r="K16" s="70"/>
      <c r="L16" s="70"/>
      <c r="M16" s="71"/>
      <c r="N16" s="70"/>
      <c r="O16" s="70"/>
      <c r="P16" s="70"/>
      <c r="Q16" s="25">
        <v>204</v>
      </c>
      <c r="R16" s="11" t="str">
        <f t="shared" si="0"/>
        <v>Пелевин Евгений Сергеевич
Прочуханов Игорь Игоревич</v>
      </c>
      <c r="S16" s="11" t="str">
        <f t="shared" si="1"/>
        <v>Полевской
Ревда</v>
      </c>
      <c r="T16" s="11" t="str">
        <f t="shared" si="2"/>
        <v>Нива 21213</v>
      </c>
      <c r="U16" s="15">
        <f>VLOOKUP($Q16,TAB,22,FALSE)</f>
        <v>1.4363425925925926E-3</v>
      </c>
      <c r="V16" s="26">
        <f>VLOOKUP($Q16,TAB,52,FALSE)</f>
        <v>0</v>
      </c>
      <c r="W16" s="26">
        <f>VLOOKUP($Q16,TAB,84,FALSE)</f>
        <v>100</v>
      </c>
      <c r="X16" s="26">
        <f>VLOOKUP($Q16,TAB,115,FALSE)</f>
        <v>100</v>
      </c>
      <c r="Y16" s="15">
        <f>VLOOKUP($Q16,TAB,23,FALSE)</f>
        <v>3.0002314814814818E-3</v>
      </c>
      <c r="Z16" s="26">
        <f>VLOOKUP($Q16,TAB,53,FALSE)</f>
        <v>0</v>
      </c>
      <c r="AA16" s="26">
        <f>VLOOKUP($Q16,TAB,85,FALSE)</f>
        <v>100</v>
      </c>
      <c r="AB16" s="26">
        <f>VLOOKUP($Q16,TAB,116,FALSE)</f>
        <v>100</v>
      </c>
      <c r="AC16" s="15">
        <f t="shared" si="3"/>
        <v>2.488425925925926E-3</v>
      </c>
      <c r="AD16" s="26">
        <f t="shared" si="4"/>
        <v>0</v>
      </c>
      <c r="AE16" s="26">
        <f t="shared" si="5"/>
        <v>100</v>
      </c>
      <c r="AF16" s="26">
        <f t="shared" si="6"/>
        <v>100</v>
      </c>
      <c r="AG16" s="15">
        <f t="shared" si="7"/>
        <v>1.7245370370370372E-3</v>
      </c>
      <c r="AH16" s="26">
        <f t="shared" si="8"/>
        <v>0</v>
      </c>
      <c r="AI16" s="26">
        <f t="shared" si="9"/>
        <v>95</v>
      </c>
      <c r="AJ16" s="26">
        <f t="shared" si="10"/>
        <v>95</v>
      </c>
      <c r="AK16" s="15">
        <f t="shared" si="11"/>
        <v>3.2226851851851848E-3</v>
      </c>
      <c r="AL16" s="26">
        <f t="shared" si="12"/>
        <v>0</v>
      </c>
      <c r="AM16" s="26">
        <f t="shared" si="13"/>
        <v>90</v>
      </c>
      <c r="AN16" s="26">
        <f t="shared" si="14"/>
        <v>90</v>
      </c>
      <c r="AO16" s="25">
        <v>204</v>
      </c>
      <c r="AP16" s="11" t="str">
        <f t="shared" si="15"/>
        <v>Пелевин Евгений Сергеевич
Прочуханов Игорь Игоревич</v>
      </c>
      <c r="AQ16" s="11" t="str">
        <f t="shared" si="16"/>
        <v>Полевской
Ревда</v>
      </c>
      <c r="AR16" s="11" t="str">
        <f t="shared" si="17"/>
        <v>186710
186711</v>
      </c>
      <c r="AS16" s="15">
        <f t="shared" si="18"/>
        <v>2.0717592592592593E-3</v>
      </c>
      <c r="AT16" s="26">
        <f t="shared" si="19"/>
        <v>0</v>
      </c>
      <c r="AU16" s="26">
        <f t="shared" si="20"/>
        <v>100</v>
      </c>
      <c r="AV16" s="26">
        <f t="shared" si="21"/>
        <v>100</v>
      </c>
      <c r="AW16" s="15">
        <f t="shared" si="22"/>
        <v>5.6365740740740742E-3</v>
      </c>
      <c r="AX16" s="26">
        <f t="shared" si="23"/>
        <v>0</v>
      </c>
      <c r="AY16" s="26">
        <f t="shared" si="24"/>
        <v>84</v>
      </c>
      <c r="AZ16" s="26">
        <f t="shared" si="25"/>
        <v>84</v>
      </c>
      <c r="BA16" s="15">
        <f t="shared" si="26"/>
        <v>2.1415509259259257E-3</v>
      </c>
      <c r="BB16" s="26">
        <f t="shared" si="27"/>
        <v>0</v>
      </c>
      <c r="BC16" s="26">
        <f>VLOOKUP($AO16,TAB,91,FALSE)</f>
        <v>100</v>
      </c>
      <c r="BD16" s="26">
        <f t="shared" si="28"/>
        <v>100</v>
      </c>
      <c r="BE16" s="25">
        <v>204</v>
      </c>
      <c r="BF16" s="11" t="str">
        <f t="shared" si="29"/>
        <v>Пелевин Евгений Сергеевич
Прочуханов Игорь Игоревич</v>
      </c>
      <c r="BG16" s="11" t="str">
        <f t="shared" si="30"/>
        <v>Полевской
Ревда</v>
      </c>
      <c r="BH16" s="11" t="str">
        <f t="shared" si="31"/>
        <v>Нива 21213</v>
      </c>
      <c r="BI16" s="15">
        <f t="shared" si="32"/>
        <v>5.8083333333333346E-3</v>
      </c>
      <c r="BJ16" s="26">
        <f t="shared" si="33"/>
        <v>0</v>
      </c>
      <c r="BK16" s="26">
        <f t="shared" si="34"/>
        <v>90</v>
      </c>
      <c r="BL16" s="26">
        <f t="shared" si="35"/>
        <v>90</v>
      </c>
      <c r="BM16" s="15">
        <f t="shared" si="36"/>
        <v>1.2756944444444445E-3</v>
      </c>
      <c r="BN16" s="26">
        <f t="shared" si="37"/>
        <v>0</v>
      </c>
      <c r="BO16" s="26">
        <f t="shared" si="38"/>
        <v>100</v>
      </c>
      <c r="BP16" s="26">
        <f t="shared" si="39"/>
        <v>100</v>
      </c>
      <c r="BQ16" s="15">
        <f t="shared" si="40"/>
        <v>1.6471064814814814E-3</v>
      </c>
      <c r="BR16" s="26">
        <f t="shared" si="41"/>
        <v>0</v>
      </c>
      <c r="BS16" s="26">
        <f t="shared" si="42"/>
        <v>90</v>
      </c>
      <c r="BT16" s="26">
        <f t="shared" si="43"/>
        <v>90</v>
      </c>
      <c r="BU16" s="25">
        <v>204</v>
      </c>
      <c r="BV16" s="11" t="str">
        <f t="shared" si="44"/>
        <v>Пелевин Евгений Сергеевич
Прочуханов Игорь Игоревич</v>
      </c>
      <c r="BW16" s="11" t="str">
        <f t="shared" si="45"/>
        <v>Полевской
Ревда</v>
      </c>
      <c r="BX16" s="11" t="str">
        <f t="shared" si="46"/>
        <v>Нива 21213</v>
      </c>
      <c r="BY16" s="15">
        <f t="shared" si="47"/>
        <v>7.1759259259259259E-3</v>
      </c>
      <c r="BZ16" s="26">
        <f t="shared" si="48"/>
        <v>0</v>
      </c>
      <c r="CA16" s="26">
        <f t="shared" si="49"/>
        <v>95</v>
      </c>
      <c r="CB16" s="26">
        <f t="shared" si="50"/>
        <v>95</v>
      </c>
      <c r="CC16" s="15">
        <f t="shared" si="51"/>
        <v>2.3611111111111111E-3</v>
      </c>
      <c r="CD16" s="26">
        <f t="shared" si="52"/>
        <v>0</v>
      </c>
      <c r="CE16" s="26">
        <f t="shared" si="53"/>
        <v>90</v>
      </c>
      <c r="CF16" s="26">
        <f t="shared" si="54"/>
        <v>90</v>
      </c>
      <c r="CG16" s="15">
        <f t="shared" si="55"/>
        <v>2.5115740740740741E-3</v>
      </c>
      <c r="CH16" s="26">
        <f t="shared" si="56"/>
        <v>0</v>
      </c>
      <c r="CI16" s="26">
        <f t="shared" si="57"/>
        <v>100</v>
      </c>
      <c r="CJ16" s="26">
        <f t="shared" si="58"/>
        <v>100</v>
      </c>
      <c r="CK16" s="25">
        <v>204</v>
      </c>
      <c r="CL16" s="11" t="str">
        <f t="shared" si="59"/>
        <v>Пелевин Евгений Сергеевич
Прочуханов Игорь Игоревич</v>
      </c>
      <c r="CM16" s="11" t="str">
        <f t="shared" si="60"/>
        <v>Полевской
Ревда</v>
      </c>
      <c r="CN16" s="11" t="str">
        <f t="shared" si="61"/>
        <v>Нива 21213</v>
      </c>
      <c r="CO16" s="15">
        <f t="shared" si="62"/>
        <v>3.2291666666666666E-3</v>
      </c>
      <c r="CP16" s="26">
        <f t="shared" si="63"/>
        <v>10</v>
      </c>
      <c r="CQ16" s="26">
        <f t="shared" si="64"/>
        <v>95</v>
      </c>
      <c r="CR16" s="26">
        <f t="shared" si="65"/>
        <v>85</v>
      </c>
      <c r="CS16" s="15">
        <f t="shared" si="66"/>
        <v>3.8773148148148143E-3</v>
      </c>
      <c r="CT16" s="26">
        <f t="shared" si="67"/>
        <v>0</v>
      </c>
      <c r="CU16" s="26">
        <f t="shared" si="68"/>
        <v>100</v>
      </c>
      <c r="CV16" s="26">
        <f t="shared" si="69"/>
        <v>100</v>
      </c>
      <c r="CW16" s="15">
        <f t="shared" si="70"/>
        <v>0</v>
      </c>
      <c r="CX16" s="26">
        <f t="shared" si="71"/>
        <v>0</v>
      </c>
      <c r="CY16" s="26">
        <f t="shared" si="72"/>
        <v>0</v>
      </c>
      <c r="CZ16" s="26">
        <f t="shared" si="73"/>
        <v>0</v>
      </c>
      <c r="DA16" s="11">
        <f t="shared" si="74"/>
        <v>1619</v>
      </c>
    </row>
    <row r="17" spans="1:105" s="6" customFormat="1" ht="60" x14ac:dyDescent="0.25">
      <c r="A17" s="25">
        <v>205</v>
      </c>
      <c r="B17" s="11" t="str">
        <f>VLOOKUP($A17,TAB,2,FALSE)</f>
        <v>Тетерин Роман Геннадьевич
Захаров Александр Васильевич</v>
      </c>
      <c r="C17" s="11" t="str">
        <f>VLOOKUP($A17,TAB,4,FALSE)</f>
        <v>Катайск
Катайск</v>
      </c>
      <c r="D17" s="11" t="str">
        <f>VLOOKUP($A17,TAB,5,FALSE)</f>
        <v>УАЗ 469</v>
      </c>
      <c r="E17" s="75">
        <v>5</v>
      </c>
      <c r="F17" s="26"/>
      <c r="G17" s="26">
        <f>VLOOKUP($A17,TAB,70,FALSE)</f>
        <v>84</v>
      </c>
      <c r="H17" s="26">
        <f>VLOOKUP($A17,TAB,101,FALSE)</f>
        <v>84</v>
      </c>
      <c r="I17" s="69"/>
      <c r="J17" s="70"/>
      <c r="K17" s="70"/>
      <c r="L17" s="70"/>
      <c r="M17" s="71"/>
      <c r="N17" s="70"/>
      <c r="O17" s="70"/>
      <c r="P17" s="70"/>
      <c r="Q17" s="25">
        <v>205</v>
      </c>
      <c r="R17" s="11" t="str">
        <f t="shared" si="0"/>
        <v>Тетерин Роман Геннадьевич
Захаров Александр Васильевич</v>
      </c>
      <c r="S17" s="11" t="str">
        <f t="shared" si="1"/>
        <v>Катайск
Катайск</v>
      </c>
      <c r="T17" s="11" t="str">
        <f t="shared" si="2"/>
        <v>УАЗ 469</v>
      </c>
      <c r="U17" s="15">
        <f>VLOOKUP($Q17,TAB,22,FALSE)</f>
        <v>4.5952546296296297E-3</v>
      </c>
      <c r="V17" s="26">
        <f>VLOOKUP($Q17,TAB,52,FALSE)</f>
        <v>0</v>
      </c>
      <c r="W17" s="26">
        <f>VLOOKUP($Q17,TAB,84,FALSE)</f>
        <v>81</v>
      </c>
      <c r="X17" s="26">
        <f>VLOOKUP($Q17,TAB,115,FALSE)</f>
        <v>81</v>
      </c>
      <c r="Y17" s="15" t="str">
        <f>VLOOKUP($Q17,TAB,23,FALSE)</f>
        <v>DNF</v>
      </c>
      <c r="Z17" s="26">
        <f>VLOOKUP($Q17,TAB,53,FALSE)</f>
        <v>0</v>
      </c>
      <c r="AA17" s="26">
        <f>VLOOKUP($Q17,TAB,85,FALSE)</f>
        <v>20</v>
      </c>
      <c r="AB17" s="26">
        <f>VLOOKUP($Q17,TAB,116,FALSE)</f>
        <v>20</v>
      </c>
      <c r="AC17" s="15" t="str">
        <f t="shared" si="3"/>
        <v>DNF</v>
      </c>
      <c r="AD17" s="26">
        <f t="shared" si="4"/>
        <v>0</v>
      </c>
      <c r="AE17" s="26">
        <f t="shared" si="5"/>
        <v>20</v>
      </c>
      <c r="AF17" s="26">
        <f t="shared" si="6"/>
        <v>20</v>
      </c>
      <c r="AG17" s="15">
        <f t="shared" si="7"/>
        <v>3.4490740740740745E-3</v>
      </c>
      <c r="AH17" s="26">
        <f t="shared" si="8"/>
        <v>0</v>
      </c>
      <c r="AI17" s="26">
        <f t="shared" si="9"/>
        <v>78</v>
      </c>
      <c r="AJ17" s="26">
        <f t="shared" si="10"/>
        <v>78</v>
      </c>
      <c r="AK17" s="15">
        <f t="shared" si="11"/>
        <v>5.0256944444444446E-3</v>
      </c>
      <c r="AL17" s="26">
        <f t="shared" si="12"/>
        <v>10</v>
      </c>
      <c r="AM17" s="26">
        <f t="shared" si="13"/>
        <v>87</v>
      </c>
      <c r="AN17" s="26">
        <f t="shared" si="14"/>
        <v>77</v>
      </c>
      <c r="AO17" s="25">
        <v>205</v>
      </c>
      <c r="AP17" s="11" t="str">
        <f t="shared" si="15"/>
        <v>Тетерин Роман Геннадьевич
Захаров Александр Васильевич</v>
      </c>
      <c r="AQ17" s="11" t="str">
        <f t="shared" si="16"/>
        <v>Катайск
Катайск</v>
      </c>
      <c r="AR17" s="11" t="str">
        <f t="shared" si="17"/>
        <v>171307</v>
      </c>
      <c r="AS17" s="15">
        <f t="shared" si="18"/>
        <v>8.0324074074074065E-3</v>
      </c>
      <c r="AT17" s="26">
        <f t="shared" si="19"/>
        <v>10</v>
      </c>
      <c r="AU17" s="26">
        <f t="shared" si="20"/>
        <v>87</v>
      </c>
      <c r="AV17" s="26">
        <f t="shared" si="21"/>
        <v>77</v>
      </c>
      <c r="AW17" s="15">
        <f t="shared" si="22"/>
        <v>4.2592592592592595E-3</v>
      </c>
      <c r="AX17" s="26">
        <f t="shared" si="23"/>
        <v>0</v>
      </c>
      <c r="AY17" s="26">
        <f t="shared" si="24"/>
        <v>87</v>
      </c>
      <c r="AZ17" s="26">
        <f t="shared" si="25"/>
        <v>87</v>
      </c>
      <c r="BA17" s="15">
        <f t="shared" si="26"/>
        <v>7.7817129629629625E-3</v>
      </c>
      <c r="BB17" s="26">
        <f t="shared" si="27"/>
        <v>0</v>
      </c>
      <c r="BC17" s="26">
        <f>VLOOKUP($AO17,TAB,91,FALSE)</f>
        <v>87</v>
      </c>
      <c r="BD17" s="26">
        <f t="shared" si="28"/>
        <v>87</v>
      </c>
      <c r="BE17" s="25">
        <v>205</v>
      </c>
      <c r="BF17" s="11" t="str">
        <f t="shared" si="29"/>
        <v>Тетерин Роман Геннадьевич
Захаров Александр Васильевич</v>
      </c>
      <c r="BG17" s="11" t="str">
        <f t="shared" si="30"/>
        <v>Катайск
Катайск</v>
      </c>
      <c r="BH17" s="11" t="str">
        <f t="shared" si="31"/>
        <v>УАЗ 469</v>
      </c>
      <c r="BI17" s="15">
        <f t="shared" si="32"/>
        <v>5.225462962962963E-3</v>
      </c>
      <c r="BJ17" s="26">
        <f t="shared" si="33"/>
        <v>0</v>
      </c>
      <c r="BK17" s="26">
        <f t="shared" si="34"/>
        <v>95</v>
      </c>
      <c r="BL17" s="26">
        <f t="shared" si="35"/>
        <v>95</v>
      </c>
      <c r="BM17" s="15">
        <f t="shared" si="36"/>
        <v>5.0719907407407406E-3</v>
      </c>
      <c r="BN17" s="26">
        <f t="shared" si="37"/>
        <v>0</v>
      </c>
      <c r="BO17" s="26">
        <f t="shared" si="38"/>
        <v>84</v>
      </c>
      <c r="BP17" s="26">
        <f t="shared" si="39"/>
        <v>84</v>
      </c>
      <c r="BQ17" s="15">
        <f t="shared" si="40"/>
        <v>7.3035879629629631E-3</v>
      </c>
      <c r="BR17" s="26">
        <f t="shared" si="41"/>
        <v>30</v>
      </c>
      <c r="BS17" s="26">
        <f t="shared" si="42"/>
        <v>81</v>
      </c>
      <c r="BT17" s="26">
        <f t="shared" si="43"/>
        <v>51</v>
      </c>
      <c r="BU17" s="25">
        <v>205</v>
      </c>
      <c r="BV17" s="11" t="str">
        <f t="shared" si="44"/>
        <v>Тетерин Роман Геннадьевич
Захаров Александр Васильевич</v>
      </c>
      <c r="BW17" s="11" t="str">
        <f t="shared" si="45"/>
        <v>Катайск
Катайск</v>
      </c>
      <c r="BX17" s="11" t="str">
        <f t="shared" si="46"/>
        <v>УАЗ 469</v>
      </c>
      <c r="BY17" s="15">
        <f t="shared" si="47"/>
        <v>0</v>
      </c>
      <c r="BZ17" s="26">
        <f t="shared" si="48"/>
        <v>0</v>
      </c>
      <c r="CA17" s="26">
        <f t="shared" si="49"/>
        <v>0</v>
      </c>
      <c r="CB17" s="26">
        <f t="shared" si="50"/>
        <v>0</v>
      </c>
      <c r="CC17" s="15">
        <f t="shared" si="51"/>
        <v>2.9976851851851848E-3</v>
      </c>
      <c r="CD17" s="26">
        <f t="shared" si="52"/>
        <v>0</v>
      </c>
      <c r="CE17" s="26">
        <f t="shared" si="53"/>
        <v>87</v>
      </c>
      <c r="CF17" s="26">
        <f t="shared" si="54"/>
        <v>87</v>
      </c>
      <c r="CG17" s="15" t="str">
        <f t="shared" si="55"/>
        <v>DNF</v>
      </c>
      <c r="CH17" s="26">
        <f t="shared" si="56"/>
        <v>0</v>
      </c>
      <c r="CI17" s="26">
        <f t="shared" si="57"/>
        <v>20</v>
      </c>
      <c r="CJ17" s="26">
        <f t="shared" si="58"/>
        <v>20</v>
      </c>
      <c r="CK17" s="25">
        <v>205</v>
      </c>
      <c r="CL17" s="11" t="str">
        <f t="shared" si="59"/>
        <v>Тетерин Роман Геннадьевич
Захаров Александр Васильевич</v>
      </c>
      <c r="CM17" s="11" t="str">
        <f t="shared" si="60"/>
        <v>Катайск
Катайск</v>
      </c>
      <c r="CN17" s="11" t="str">
        <f t="shared" si="61"/>
        <v>УАЗ 469</v>
      </c>
      <c r="CO17" s="15" t="str">
        <f t="shared" si="62"/>
        <v>DNF</v>
      </c>
      <c r="CP17" s="26">
        <f t="shared" si="63"/>
        <v>0</v>
      </c>
      <c r="CQ17" s="26">
        <f t="shared" si="64"/>
        <v>20</v>
      </c>
      <c r="CR17" s="26">
        <f t="shared" si="65"/>
        <v>20</v>
      </c>
      <c r="CS17" s="15" t="str">
        <f t="shared" si="66"/>
        <v>DNF</v>
      </c>
      <c r="CT17" s="26">
        <f t="shared" si="67"/>
        <v>0</v>
      </c>
      <c r="CU17" s="26">
        <f t="shared" si="68"/>
        <v>20</v>
      </c>
      <c r="CV17" s="26">
        <f t="shared" si="69"/>
        <v>20</v>
      </c>
      <c r="CW17" s="15">
        <f t="shared" si="70"/>
        <v>0</v>
      </c>
      <c r="CX17" s="26">
        <f t="shared" si="71"/>
        <v>0</v>
      </c>
      <c r="CY17" s="26">
        <f t="shared" si="72"/>
        <v>0</v>
      </c>
      <c r="CZ17" s="26">
        <f t="shared" si="73"/>
        <v>0</v>
      </c>
      <c r="DA17" s="11">
        <f t="shared" si="74"/>
        <v>988</v>
      </c>
    </row>
    <row r="18" spans="1:105" s="6" customFormat="1" ht="60" x14ac:dyDescent="0.25">
      <c r="A18" s="25">
        <v>206</v>
      </c>
      <c r="B18" s="11" t="str">
        <f>VLOOKUP($A18,TAB,2,FALSE)</f>
        <v>Бачурин Антон Александрович
Лашков Антон Борисович</v>
      </c>
      <c r="C18" s="11" t="str">
        <f>VLOOKUP($A18,TAB,4,FALSE)</f>
        <v>Камышлов
Камышлов</v>
      </c>
      <c r="D18" s="11" t="str">
        <f>VLOOKUP($A18,TAB,5,FALSE)</f>
        <v>ГАЗ-69</v>
      </c>
      <c r="E18" s="75">
        <v>4</v>
      </c>
      <c r="F18" s="26"/>
      <c r="G18" s="26">
        <f>VLOOKUP($A18,TAB,70,FALSE)</f>
        <v>87</v>
      </c>
      <c r="H18" s="26">
        <f>VLOOKUP($A18,TAB,101,FALSE)</f>
        <v>87</v>
      </c>
      <c r="I18" s="69"/>
      <c r="J18" s="70"/>
      <c r="K18" s="70"/>
      <c r="L18" s="70"/>
      <c r="M18" s="71"/>
      <c r="N18" s="70"/>
      <c r="O18" s="70"/>
      <c r="P18" s="70"/>
      <c r="Q18" s="25">
        <v>206</v>
      </c>
      <c r="R18" s="11" t="str">
        <f t="shared" si="0"/>
        <v>Бачурин Антон Александрович
Лашков Антон Борисович</v>
      </c>
      <c r="S18" s="11" t="str">
        <f t="shared" si="1"/>
        <v>Камышлов
Камышлов</v>
      </c>
      <c r="T18" s="11" t="str">
        <f t="shared" si="2"/>
        <v>ГАЗ-69</v>
      </c>
      <c r="U18" s="15">
        <f>VLOOKUP($Q18,TAB,22,FALSE)</f>
        <v>2.3260416666666668E-3</v>
      </c>
      <c r="V18" s="26">
        <f>VLOOKUP($Q18,TAB,52,FALSE)</f>
        <v>0</v>
      </c>
      <c r="W18" s="26">
        <f>VLOOKUP($Q18,TAB,84,FALSE)</f>
        <v>90</v>
      </c>
      <c r="X18" s="26">
        <f>VLOOKUP($Q18,TAB,115,FALSE)</f>
        <v>90</v>
      </c>
      <c r="Y18" s="15">
        <f>VLOOKUP($Q18,TAB,23,FALSE)</f>
        <v>6.9212962962962969E-3</v>
      </c>
      <c r="Z18" s="26">
        <f>VLOOKUP($Q18,TAB,53,FALSE)</f>
        <v>0</v>
      </c>
      <c r="AA18" s="26">
        <f>VLOOKUP($Q18,TAB,85,FALSE)</f>
        <v>87</v>
      </c>
      <c r="AB18" s="26">
        <f>VLOOKUP($Q18,TAB,116,FALSE)</f>
        <v>87</v>
      </c>
      <c r="AC18" s="15">
        <f t="shared" si="3"/>
        <v>2.6620370370370374E-3</v>
      </c>
      <c r="AD18" s="26">
        <f t="shared" si="4"/>
        <v>0</v>
      </c>
      <c r="AE18" s="26">
        <f t="shared" si="5"/>
        <v>95</v>
      </c>
      <c r="AF18" s="26">
        <f t="shared" si="6"/>
        <v>95</v>
      </c>
      <c r="AG18" s="15">
        <f t="shared" si="7"/>
        <v>1.5509259259259261E-3</v>
      </c>
      <c r="AH18" s="26">
        <f t="shared" si="8"/>
        <v>0</v>
      </c>
      <c r="AI18" s="26">
        <f t="shared" si="9"/>
        <v>100</v>
      </c>
      <c r="AJ18" s="26">
        <f t="shared" si="10"/>
        <v>100</v>
      </c>
      <c r="AK18" s="15">
        <f t="shared" si="11"/>
        <v>3.0070601851851855E-3</v>
      </c>
      <c r="AL18" s="26">
        <f t="shared" si="12"/>
        <v>0</v>
      </c>
      <c r="AM18" s="26">
        <f t="shared" si="13"/>
        <v>100</v>
      </c>
      <c r="AN18" s="26">
        <f t="shared" si="14"/>
        <v>100</v>
      </c>
      <c r="AO18" s="25">
        <v>206</v>
      </c>
      <c r="AP18" s="11" t="str">
        <f t="shared" si="15"/>
        <v>Бачурин Антон Александрович
Лашков Антон Борисович</v>
      </c>
      <c r="AQ18" s="11" t="str">
        <f t="shared" si="16"/>
        <v>Камышлов
Камышлов</v>
      </c>
      <c r="AR18" s="11">
        <f t="shared" si="17"/>
        <v>0</v>
      </c>
      <c r="AS18" s="15">
        <f t="shared" si="18"/>
        <v>4.4328703703703709E-3</v>
      </c>
      <c r="AT18" s="26">
        <f t="shared" si="19"/>
        <v>0</v>
      </c>
      <c r="AU18" s="26">
        <f t="shared" si="20"/>
        <v>95</v>
      </c>
      <c r="AV18" s="26">
        <f t="shared" si="21"/>
        <v>95</v>
      </c>
      <c r="AW18" s="15">
        <f t="shared" si="22"/>
        <v>3.0555555555555557E-3</v>
      </c>
      <c r="AX18" s="26">
        <f t="shared" si="23"/>
        <v>0</v>
      </c>
      <c r="AY18" s="26">
        <f t="shared" si="24"/>
        <v>95</v>
      </c>
      <c r="AZ18" s="26">
        <f t="shared" si="25"/>
        <v>95</v>
      </c>
      <c r="BA18" s="15">
        <f t="shared" si="26"/>
        <v>3.5413194444444442E-3</v>
      </c>
      <c r="BB18" s="26">
        <f t="shared" si="27"/>
        <v>0</v>
      </c>
      <c r="BC18" s="26">
        <f>VLOOKUP($AO18,TAB,91,FALSE)</f>
        <v>90</v>
      </c>
      <c r="BD18" s="26">
        <f t="shared" si="28"/>
        <v>90</v>
      </c>
      <c r="BE18" s="25">
        <v>206</v>
      </c>
      <c r="BF18" s="11" t="str">
        <f t="shared" si="29"/>
        <v>Бачурин Антон Александрович
Лашков Антон Борисович</v>
      </c>
      <c r="BG18" s="11" t="str">
        <f t="shared" si="30"/>
        <v>Камышлов
Камышлов</v>
      </c>
      <c r="BH18" s="11" t="str">
        <f t="shared" si="31"/>
        <v>ГАЗ-69</v>
      </c>
      <c r="BI18" s="15" t="str">
        <f t="shared" si="32"/>
        <v>DNF</v>
      </c>
      <c r="BJ18" s="26">
        <f t="shared" si="33"/>
        <v>0</v>
      </c>
      <c r="BK18" s="26">
        <f t="shared" si="34"/>
        <v>20</v>
      </c>
      <c r="BL18" s="26">
        <f t="shared" si="35"/>
        <v>20</v>
      </c>
      <c r="BM18" s="15">
        <f t="shared" si="36"/>
        <v>1.6572916666666665E-3</v>
      </c>
      <c r="BN18" s="26">
        <f t="shared" si="37"/>
        <v>0</v>
      </c>
      <c r="BO18" s="26">
        <f t="shared" si="38"/>
        <v>90</v>
      </c>
      <c r="BP18" s="26">
        <f t="shared" si="39"/>
        <v>90</v>
      </c>
      <c r="BQ18" s="15">
        <f t="shared" si="40"/>
        <v>1.0239583333333333E-3</v>
      </c>
      <c r="BR18" s="26">
        <f t="shared" si="41"/>
        <v>0</v>
      </c>
      <c r="BS18" s="26">
        <f t="shared" si="42"/>
        <v>100</v>
      </c>
      <c r="BT18" s="26">
        <f t="shared" si="43"/>
        <v>100</v>
      </c>
      <c r="BU18" s="25">
        <v>206</v>
      </c>
      <c r="BV18" s="11" t="str">
        <f t="shared" si="44"/>
        <v>Бачурин Антон Александрович
Лашков Антон Борисович</v>
      </c>
      <c r="BW18" s="11" t="str">
        <f t="shared" si="45"/>
        <v>Камышлов
Камышлов</v>
      </c>
      <c r="BX18" s="11" t="str">
        <f t="shared" si="46"/>
        <v>ГАЗ-69</v>
      </c>
      <c r="BY18" s="15">
        <f t="shared" si="47"/>
        <v>9.9768518518518531E-3</v>
      </c>
      <c r="BZ18" s="26">
        <f t="shared" si="48"/>
        <v>30</v>
      </c>
      <c r="CA18" s="26">
        <f t="shared" si="49"/>
        <v>90</v>
      </c>
      <c r="CB18" s="26">
        <f t="shared" si="50"/>
        <v>60</v>
      </c>
      <c r="CC18" s="15">
        <f t="shared" si="51"/>
        <v>1.5972222222222221E-3</v>
      </c>
      <c r="CD18" s="26">
        <f t="shared" si="52"/>
        <v>0</v>
      </c>
      <c r="CE18" s="26">
        <f t="shared" si="53"/>
        <v>95</v>
      </c>
      <c r="CF18" s="26">
        <f t="shared" si="54"/>
        <v>95</v>
      </c>
      <c r="CG18" s="15">
        <f t="shared" si="55"/>
        <v>3.9467592592592592E-3</v>
      </c>
      <c r="CH18" s="26">
        <f t="shared" si="56"/>
        <v>0</v>
      </c>
      <c r="CI18" s="26">
        <f t="shared" si="57"/>
        <v>90</v>
      </c>
      <c r="CJ18" s="26">
        <f t="shared" si="58"/>
        <v>90</v>
      </c>
      <c r="CK18" s="25">
        <v>206</v>
      </c>
      <c r="CL18" s="11" t="str">
        <f t="shared" si="59"/>
        <v>Бачурин Антон Александрович
Лашков Антон Борисович</v>
      </c>
      <c r="CM18" s="11" t="str">
        <f t="shared" si="60"/>
        <v>Камышлов
Камышлов</v>
      </c>
      <c r="CN18" s="11" t="str">
        <f t="shared" si="61"/>
        <v>ГАЗ-69</v>
      </c>
      <c r="CO18" s="15">
        <f t="shared" si="62"/>
        <v>3.2638888888888891E-3</v>
      </c>
      <c r="CP18" s="26">
        <f t="shared" si="63"/>
        <v>0</v>
      </c>
      <c r="CQ18" s="26">
        <f t="shared" si="64"/>
        <v>90</v>
      </c>
      <c r="CR18" s="26">
        <f t="shared" si="65"/>
        <v>90</v>
      </c>
      <c r="CS18" s="15">
        <f t="shared" si="66"/>
        <v>4.4791666666666669E-3</v>
      </c>
      <c r="CT18" s="26">
        <f t="shared" si="67"/>
        <v>0</v>
      </c>
      <c r="CU18" s="26">
        <f t="shared" si="68"/>
        <v>95</v>
      </c>
      <c r="CV18" s="26">
        <f t="shared" si="69"/>
        <v>95</v>
      </c>
      <c r="CW18" s="15">
        <f t="shared" si="70"/>
        <v>0</v>
      </c>
      <c r="CX18" s="26">
        <f t="shared" si="71"/>
        <v>0</v>
      </c>
      <c r="CY18" s="26">
        <f t="shared" si="72"/>
        <v>0</v>
      </c>
      <c r="CZ18" s="26">
        <f t="shared" si="73"/>
        <v>0</v>
      </c>
      <c r="DA18" s="11">
        <f t="shared" si="74"/>
        <v>1479</v>
      </c>
    </row>
    <row r="19" spans="1:105" s="6" customFormat="1" ht="60" x14ac:dyDescent="0.25">
      <c r="A19" s="25">
        <v>207</v>
      </c>
      <c r="B19" s="11" t="str">
        <f>VLOOKUP($A19,TAB,2,FALSE)</f>
        <v>Моисеев Сергей Александрович
Никитин Сергей Владимирович</v>
      </c>
      <c r="C19" s="11" t="str">
        <f>VLOOKUP($A19,TAB,4,FALSE)</f>
        <v>Челябинск
Челябинск</v>
      </c>
      <c r="D19" s="11" t="str">
        <f>VLOOKUP($A19,TAB,5,FALSE)</f>
        <v>ВАЗ 2121</v>
      </c>
      <c r="E19" s="15" t="str">
        <f>VLOOKUP($A19,TAB,8,FALSE)</f>
        <v>DNF</v>
      </c>
      <c r="F19" s="26"/>
      <c r="G19" s="26">
        <f>VLOOKUP($A19,TAB,70,FALSE)</f>
        <v>20</v>
      </c>
      <c r="H19" s="26">
        <f>VLOOKUP($A19,TAB,101,FALSE)</f>
        <v>20</v>
      </c>
      <c r="I19" s="69"/>
      <c r="J19" s="70"/>
      <c r="K19" s="70"/>
      <c r="L19" s="70"/>
      <c r="M19" s="71"/>
      <c r="N19" s="70"/>
      <c r="O19" s="70"/>
      <c r="P19" s="70"/>
      <c r="Q19" s="25">
        <v>207</v>
      </c>
      <c r="R19" s="11" t="str">
        <f t="shared" si="0"/>
        <v>Моисеев Сергей Александрович
Никитин Сергей Владимирович</v>
      </c>
      <c r="S19" s="11" t="str">
        <f t="shared" si="1"/>
        <v>Челябинск
Челябинск</v>
      </c>
      <c r="T19" s="11" t="str">
        <f t="shared" si="2"/>
        <v>ВАЗ 2121</v>
      </c>
      <c r="U19" s="15">
        <f>VLOOKUP($Q19,TAB,22,FALSE)</f>
        <v>6.6934027777777782E-3</v>
      </c>
      <c r="V19" s="26">
        <f>VLOOKUP($Q19,TAB,52,FALSE)</f>
        <v>0</v>
      </c>
      <c r="W19" s="26">
        <f>VLOOKUP($Q19,TAB,84,FALSE)</f>
        <v>78</v>
      </c>
      <c r="X19" s="26">
        <f>VLOOKUP($Q19,TAB,115,FALSE)</f>
        <v>78</v>
      </c>
      <c r="Y19" s="15" t="str">
        <f>VLOOKUP($Q19,TAB,23,FALSE)</f>
        <v>DNF</v>
      </c>
      <c r="Z19" s="26">
        <f>VLOOKUP($Q19,TAB,53,FALSE)</f>
        <v>0</v>
      </c>
      <c r="AA19" s="26">
        <f>VLOOKUP($Q19,TAB,85,FALSE)</f>
        <v>20</v>
      </c>
      <c r="AB19" s="26">
        <f>VLOOKUP($Q19,TAB,116,FALSE)</f>
        <v>20</v>
      </c>
      <c r="AC19" s="15" t="str">
        <f t="shared" si="3"/>
        <v>DNF</v>
      </c>
      <c r="AD19" s="26">
        <f t="shared" si="4"/>
        <v>0</v>
      </c>
      <c r="AE19" s="26">
        <f t="shared" si="5"/>
        <v>20</v>
      </c>
      <c r="AF19" s="26">
        <f t="shared" si="6"/>
        <v>20</v>
      </c>
      <c r="AG19" s="15">
        <f t="shared" si="7"/>
        <v>1.7245370370370372E-3</v>
      </c>
      <c r="AH19" s="26">
        <f t="shared" si="8"/>
        <v>0</v>
      </c>
      <c r="AI19" s="26">
        <f t="shared" si="9"/>
        <v>95</v>
      </c>
      <c r="AJ19" s="26">
        <f t="shared" si="10"/>
        <v>95</v>
      </c>
      <c r="AK19" s="15">
        <f t="shared" si="11"/>
        <v>0</v>
      </c>
      <c r="AL19" s="26">
        <f t="shared" si="12"/>
        <v>0</v>
      </c>
      <c r="AM19" s="26">
        <f t="shared" si="13"/>
        <v>0</v>
      </c>
      <c r="AN19" s="26">
        <f t="shared" si="14"/>
        <v>0</v>
      </c>
      <c r="AO19" s="25">
        <v>207</v>
      </c>
      <c r="AP19" s="11" t="str">
        <f t="shared" si="15"/>
        <v>Моисеев Сергей Александрович
Никитин Сергей Владимирович</v>
      </c>
      <c r="AQ19" s="11" t="str">
        <f t="shared" si="16"/>
        <v>Челябинск
Челябинск</v>
      </c>
      <c r="AR19" s="11">
        <f t="shared" si="17"/>
        <v>0</v>
      </c>
      <c r="AS19" s="15">
        <f t="shared" si="18"/>
        <v>0</v>
      </c>
      <c r="AT19" s="26">
        <f t="shared" si="19"/>
        <v>0</v>
      </c>
      <c r="AU19" s="26">
        <f t="shared" si="20"/>
        <v>0</v>
      </c>
      <c r="AV19" s="26">
        <f t="shared" si="21"/>
        <v>0</v>
      </c>
      <c r="AW19" s="15">
        <f t="shared" si="22"/>
        <v>0</v>
      </c>
      <c r="AX19" s="26">
        <f t="shared" si="23"/>
        <v>0</v>
      </c>
      <c r="AY19" s="26">
        <f t="shared" si="24"/>
        <v>0</v>
      </c>
      <c r="AZ19" s="26">
        <f t="shared" si="25"/>
        <v>0</v>
      </c>
      <c r="BA19" s="15">
        <f t="shared" si="26"/>
        <v>0</v>
      </c>
      <c r="BB19" s="26">
        <f t="shared" si="27"/>
        <v>0</v>
      </c>
      <c r="BC19" s="26">
        <f>VLOOKUP($AO19,TAB,91,FALSE)</f>
        <v>0</v>
      </c>
      <c r="BD19" s="26">
        <f t="shared" si="28"/>
        <v>0</v>
      </c>
      <c r="BE19" s="25">
        <v>207</v>
      </c>
      <c r="BF19" s="11" t="str">
        <f t="shared" si="29"/>
        <v>Моисеев Сергей Александрович
Никитин Сергей Владимирович</v>
      </c>
      <c r="BG19" s="11" t="str">
        <f t="shared" si="30"/>
        <v>Челябинск
Челябинск</v>
      </c>
      <c r="BH19" s="11" t="str">
        <f t="shared" si="31"/>
        <v>ВАЗ 2121</v>
      </c>
      <c r="BI19" s="15">
        <f t="shared" si="32"/>
        <v>0</v>
      </c>
      <c r="BJ19" s="26">
        <f t="shared" si="33"/>
        <v>0</v>
      </c>
      <c r="BK19" s="26">
        <f t="shared" si="34"/>
        <v>0</v>
      </c>
      <c r="BL19" s="26">
        <f t="shared" si="35"/>
        <v>0</v>
      </c>
      <c r="BM19" s="15">
        <f t="shared" si="36"/>
        <v>0</v>
      </c>
      <c r="BN19" s="26">
        <f t="shared" si="37"/>
        <v>0</v>
      </c>
      <c r="BO19" s="26">
        <f t="shared" si="38"/>
        <v>0</v>
      </c>
      <c r="BP19" s="26">
        <f t="shared" si="39"/>
        <v>0</v>
      </c>
      <c r="BQ19" s="15">
        <f t="shared" si="40"/>
        <v>1.8750000000000001E-3</v>
      </c>
      <c r="BR19" s="26">
        <f t="shared" si="41"/>
        <v>10</v>
      </c>
      <c r="BS19" s="26">
        <f t="shared" si="42"/>
        <v>87</v>
      </c>
      <c r="BT19" s="26">
        <f t="shared" si="43"/>
        <v>77</v>
      </c>
      <c r="BU19" s="25">
        <v>207</v>
      </c>
      <c r="BV19" s="11" t="str">
        <f t="shared" si="44"/>
        <v>Моисеев Сергей Александрович
Никитин Сергей Владимирович</v>
      </c>
      <c r="BW19" s="11" t="str">
        <f t="shared" si="45"/>
        <v>Челябинск
Челябинск</v>
      </c>
      <c r="BX19" s="11" t="str">
        <f t="shared" si="46"/>
        <v>ВАЗ 2121</v>
      </c>
      <c r="BY19" s="15">
        <f t="shared" si="47"/>
        <v>0</v>
      </c>
      <c r="BZ19" s="26">
        <f t="shared" si="48"/>
        <v>0</v>
      </c>
      <c r="CA19" s="26">
        <f t="shared" si="49"/>
        <v>0</v>
      </c>
      <c r="CB19" s="26">
        <f t="shared" si="50"/>
        <v>0</v>
      </c>
      <c r="CC19" s="15">
        <f t="shared" si="51"/>
        <v>0</v>
      </c>
      <c r="CD19" s="26">
        <f t="shared" si="52"/>
        <v>0</v>
      </c>
      <c r="CE19" s="26">
        <f t="shared" si="53"/>
        <v>0</v>
      </c>
      <c r="CF19" s="26">
        <f t="shared" si="54"/>
        <v>0</v>
      </c>
      <c r="CG19" s="15">
        <f t="shared" si="55"/>
        <v>0</v>
      </c>
      <c r="CH19" s="26">
        <f t="shared" si="56"/>
        <v>0</v>
      </c>
      <c r="CI19" s="26">
        <f t="shared" si="57"/>
        <v>0</v>
      </c>
      <c r="CJ19" s="26">
        <f t="shared" si="58"/>
        <v>0</v>
      </c>
      <c r="CK19" s="25">
        <v>207</v>
      </c>
      <c r="CL19" s="11" t="str">
        <f t="shared" si="59"/>
        <v>Моисеев Сергей Александрович
Никитин Сергей Владимирович</v>
      </c>
      <c r="CM19" s="11" t="str">
        <f t="shared" si="60"/>
        <v>Челябинск
Челябинск</v>
      </c>
      <c r="CN19" s="11" t="str">
        <f t="shared" si="61"/>
        <v>ВАЗ 2121</v>
      </c>
      <c r="CO19" s="15">
        <f t="shared" si="62"/>
        <v>0</v>
      </c>
      <c r="CP19" s="26">
        <f t="shared" si="63"/>
        <v>0</v>
      </c>
      <c r="CQ19" s="26">
        <f t="shared" si="64"/>
        <v>0</v>
      </c>
      <c r="CR19" s="26">
        <f t="shared" si="65"/>
        <v>0</v>
      </c>
      <c r="CS19" s="15">
        <f t="shared" si="66"/>
        <v>0</v>
      </c>
      <c r="CT19" s="26">
        <f t="shared" si="67"/>
        <v>0</v>
      </c>
      <c r="CU19" s="26">
        <f t="shared" si="68"/>
        <v>0</v>
      </c>
      <c r="CV19" s="26">
        <f t="shared" si="69"/>
        <v>0</v>
      </c>
      <c r="CW19" s="15">
        <f t="shared" si="70"/>
        <v>0</v>
      </c>
      <c r="CX19" s="26">
        <f t="shared" si="71"/>
        <v>0</v>
      </c>
      <c r="CY19" s="26">
        <f t="shared" si="72"/>
        <v>0</v>
      </c>
      <c r="CZ19" s="26">
        <f t="shared" si="73"/>
        <v>0</v>
      </c>
      <c r="DA19" s="11">
        <f t="shared" si="74"/>
        <v>310</v>
      </c>
    </row>
    <row r="20" spans="1:105" s="6" customFormat="1" ht="60" x14ac:dyDescent="0.25">
      <c r="A20" s="25">
        <v>209</v>
      </c>
      <c r="B20" s="11" t="str">
        <f>VLOOKUP($A20,TAB,2,FALSE)</f>
        <v>Фахритдинов Альберт Фикратович 
Головко Кирилл Юрьевич</v>
      </c>
      <c r="C20" s="11" t="str">
        <f>VLOOKUP($A20,TAB,4,FALSE)</f>
        <v>Екатеринбург
Екатеринбург</v>
      </c>
      <c r="D20" s="11" t="str">
        <f>VLOOKUP($A20,TAB,5,FALSE)</f>
        <v>Jeep Grand Cherokee</v>
      </c>
      <c r="E20" s="15" t="str">
        <f>VLOOKUP($A20,TAB,8,FALSE)</f>
        <v>DNF</v>
      </c>
      <c r="F20" s="26"/>
      <c r="G20" s="26">
        <f>VLOOKUP($A20,TAB,70,FALSE)</f>
        <v>20</v>
      </c>
      <c r="H20" s="26">
        <f>VLOOKUP($A20,TAB,101,FALSE)</f>
        <v>20</v>
      </c>
      <c r="I20" s="69"/>
      <c r="J20" s="70"/>
      <c r="K20" s="70"/>
      <c r="L20" s="70"/>
      <c r="M20" s="71"/>
      <c r="N20" s="70"/>
      <c r="O20" s="70"/>
      <c r="P20" s="70"/>
      <c r="Q20" s="25">
        <v>209</v>
      </c>
      <c r="R20" s="11" t="str">
        <f t="shared" si="0"/>
        <v>Фахритдинов Альберт Фикратович 
Головко Кирилл Юрьевич</v>
      </c>
      <c r="S20" s="11" t="str">
        <f t="shared" si="1"/>
        <v>Екатеринбург
Екатеринбург</v>
      </c>
      <c r="T20" s="11" t="str">
        <f t="shared" si="2"/>
        <v>Jeep Grand Cherokee</v>
      </c>
      <c r="U20" s="15">
        <f>VLOOKUP($Q20,TAB,22,FALSE)</f>
        <v>2.3336805555555554E-3</v>
      </c>
      <c r="V20" s="26">
        <f>VLOOKUP($Q20,TAB,52,FALSE)</f>
        <v>0</v>
      </c>
      <c r="W20" s="26">
        <f>VLOOKUP($Q20,TAB,84,FALSE)</f>
        <v>87</v>
      </c>
      <c r="X20" s="26">
        <f>VLOOKUP($Q20,TAB,115,FALSE)</f>
        <v>87</v>
      </c>
      <c r="Y20" s="15" t="str">
        <f>VLOOKUP($Q20,TAB,23,FALSE)</f>
        <v>DNF</v>
      </c>
      <c r="Z20" s="26">
        <f>VLOOKUP($Q20,TAB,53,FALSE)</f>
        <v>0</v>
      </c>
      <c r="AA20" s="26">
        <f>VLOOKUP($Q20,TAB,85,FALSE)</f>
        <v>20</v>
      </c>
      <c r="AB20" s="26">
        <f>VLOOKUP($Q20,TAB,116,FALSE)</f>
        <v>20</v>
      </c>
      <c r="AC20" s="15" t="str">
        <f t="shared" si="3"/>
        <v>DNF</v>
      </c>
      <c r="AD20" s="26">
        <f t="shared" si="4"/>
        <v>0</v>
      </c>
      <c r="AE20" s="26">
        <f t="shared" si="5"/>
        <v>20</v>
      </c>
      <c r="AF20" s="26">
        <f t="shared" si="6"/>
        <v>20</v>
      </c>
      <c r="AG20" s="15">
        <f t="shared" si="7"/>
        <v>1.9560185185185184E-3</v>
      </c>
      <c r="AH20" s="26">
        <f t="shared" si="8"/>
        <v>0</v>
      </c>
      <c r="AI20" s="26">
        <f t="shared" si="9"/>
        <v>87</v>
      </c>
      <c r="AJ20" s="26">
        <f t="shared" si="10"/>
        <v>87</v>
      </c>
      <c r="AK20" s="15" t="str">
        <f t="shared" si="11"/>
        <v>DNF</v>
      </c>
      <c r="AL20" s="26">
        <f t="shared" si="12"/>
        <v>0</v>
      </c>
      <c r="AM20" s="26">
        <f t="shared" si="13"/>
        <v>20</v>
      </c>
      <c r="AN20" s="26">
        <f t="shared" si="14"/>
        <v>20</v>
      </c>
      <c r="AO20" s="25">
        <v>209</v>
      </c>
      <c r="AP20" s="11" t="str">
        <f t="shared" si="15"/>
        <v>Фахритдинов Альберт Фикратович 
Головко Кирилл Юрьевич</v>
      </c>
      <c r="AQ20" s="11" t="str">
        <f t="shared" si="16"/>
        <v>Екатеринбург
Екатеринбург</v>
      </c>
      <c r="AR20" s="11" t="str">
        <f t="shared" si="17"/>
        <v>183663</v>
      </c>
      <c r="AS20" s="15" t="str">
        <f t="shared" si="18"/>
        <v>DNF</v>
      </c>
      <c r="AT20" s="26">
        <f t="shared" si="19"/>
        <v>0</v>
      </c>
      <c r="AU20" s="26">
        <f t="shared" si="20"/>
        <v>20</v>
      </c>
      <c r="AV20" s="26">
        <f t="shared" si="21"/>
        <v>20</v>
      </c>
      <c r="AW20" s="15" t="str">
        <f t="shared" si="22"/>
        <v>DNF</v>
      </c>
      <c r="AX20" s="26">
        <f t="shared" si="23"/>
        <v>0</v>
      </c>
      <c r="AY20" s="26">
        <f t="shared" si="24"/>
        <v>20</v>
      </c>
      <c r="AZ20" s="26">
        <f t="shared" si="25"/>
        <v>20</v>
      </c>
      <c r="BA20" s="15">
        <f t="shared" si="26"/>
        <v>0</v>
      </c>
      <c r="BB20" s="26">
        <f t="shared" si="27"/>
        <v>0</v>
      </c>
      <c r="BC20" s="26">
        <f>VLOOKUP($AO20,TAB,91,FALSE)</f>
        <v>0</v>
      </c>
      <c r="BD20" s="26">
        <f t="shared" si="28"/>
        <v>0</v>
      </c>
      <c r="BE20" s="25">
        <v>209</v>
      </c>
      <c r="BF20" s="11" t="str">
        <f t="shared" si="29"/>
        <v>Фахритдинов Альберт Фикратович 
Головко Кирилл Юрьевич</v>
      </c>
      <c r="BG20" s="11" t="str">
        <f t="shared" si="30"/>
        <v>Екатеринбург
Екатеринбург</v>
      </c>
      <c r="BH20" s="11" t="str">
        <f t="shared" si="31"/>
        <v>Jeep Grand Cherokee</v>
      </c>
      <c r="BI20" s="15" t="str">
        <f t="shared" si="32"/>
        <v>DNF</v>
      </c>
      <c r="BJ20" s="26">
        <f t="shared" si="33"/>
        <v>0</v>
      </c>
      <c r="BK20" s="26">
        <f t="shared" si="34"/>
        <v>20</v>
      </c>
      <c r="BL20" s="26">
        <f t="shared" si="35"/>
        <v>20</v>
      </c>
      <c r="BM20" s="15" t="str">
        <f t="shared" si="36"/>
        <v>DNF</v>
      </c>
      <c r="BN20" s="26">
        <f t="shared" si="37"/>
        <v>0</v>
      </c>
      <c r="BO20" s="26">
        <f t="shared" si="38"/>
        <v>20</v>
      </c>
      <c r="BP20" s="26">
        <f t="shared" si="39"/>
        <v>20</v>
      </c>
      <c r="BQ20" s="15">
        <f t="shared" si="40"/>
        <v>0</v>
      </c>
      <c r="BR20" s="26">
        <f t="shared" si="41"/>
        <v>0</v>
      </c>
      <c r="BS20" s="26">
        <f t="shared" si="42"/>
        <v>0</v>
      </c>
      <c r="BT20" s="26">
        <f t="shared" si="43"/>
        <v>0</v>
      </c>
      <c r="BU20" s="25">
        <v>209</v>
      </c>
      <c r="BV20" s="11" t="str">
        <f t="shared" si="44"/>
        <v>Фахритдинов Альберт Фикратович 
Головко Кирилл Юрьевич</v>
      </c>
      <c r="BW20" s="11" t="str">
        <f t="shared" si="45"/>
        <v>Екатеринбург
Екатеринбург</v>
      </c>
      <c r="BX20" s="11" t="str">
        <f t="shared" si="46"/>
        <v>Jeep Grand Cherokee</v>
      </c>
      <c r="BY20" s="15">
        <f t="shared" si="47"/>
        <v>0</v>
      </c>
      <c r="BZ20" s="26">
        <f t="shared" si="48"/>
        <v>0</v>
      </c>
      <c r="CA20" s="26">
        <f t="shared" si="49"/>
        <v>0</v>
      </c>
      <c r="CB20" s="26">
        <f t="shared" si="50"/>
        <v>0</v>
      </c>
      <c r="CC20" s="15">
        <f t="shared" si="51"/>
        <v>7.8009259259259256E-3</v>
      </c>
      <c r="CD20" s="26">
        <f t="shared" si="52"/>
        <v>0</v>
      </c>
      <c r="CE20" s="26">
        <f t="shared" si="53"/>
        <v>81</v>
      </c>
      <c r="CF20" s="26">
        <f t="shared" si="54"/>
        <v>81</v>
      </c>
      <c r="CG20" s="15" t="str">
        <f t="shared" si="55"/>
        <v>DNF</v>
      </c>
      <c r="CH20" s="26">
        <f t="shared" si="56"/>
        <v>0</v>
      </c>
      <c r="CI20" s="26">
        <f t="shared" si="57"/>
        <v>20</v>
      </c>
      <c r="CJ20" s="26">
        <f t="shared" si="58"/>
        <v>20</v>
      </c>
      <c r="CK20" s="25">
        <v>209</v>
      </c>
      <c r="CL20" s="11" t="str">
        <f t="shared" si="59"/>
        <v>Фахритдинов Альберт Фикратович 
Головко Кирилл Юрьевич</v>
      </c>
      <c r="CM20" s="11" t="str">
        <f t="shared" si="60"/>
        <v>Екатеринбург
Екатеринбург</v>
      </c>
      <c r="CN20" s="11" t="str">
        <f t="shared" si="61"/>
        <v>Jeep Grand Cherokee</v>
      </c>
      <c r="CO20" s="15" t="str">
        <f t="shared" si="62"/>
        <v>DNF</v>
      </c>
      <c r="CP20" s="26">
        <f t="shared" si="63"/>
        <v>0</v>
      </c>
      <c r="CQ20" s="26">
        <f t="shared" si="64"/>
        <v>20</v>
      </c>
      <c r="CR20" s="26">
        <f t="shared" si="65"/>
        <v>20</v>
      </c>
      <c r="CS20" s="15">
        <f t="shared" si="66"/>
        <v>0</v>
      </c>
      <c r="CT20" s="26">
        <f t="shared" si="67"/>
        <v>0</v>
      </c>
      <c r="CU20" s="26">
        <f t="shared" si="68"/>
        <v>0</v>
      </c>
      <c r="CV20" s="26">
        <f t="shared" si="69"/>
        <v>0</v>
      </c>
      <c r="CW20" s="15">
        <f t="shared" si="70"/>
        <v>0</v>
      </c>
      <c r="CX20" s="26">
        <f t="shared" si="71"/>
        <v>0</v>
      </c>
      <c r="CY20" s="26">
        <f t="shared" si="72"/>
        <v>0</v>
      </c>
      <c r="CZ20" s="26">
        <f t="shared" si="73"/>
        <v>0</v>
      </c>
      <c r="DA20" s="11">
        <f t="shared" si="74"/>
        <v>455</v>
      </c>
    </row>
    <row r="21" spans="1:105" s="36" customFormat="1" x14ac:dyDescent="0.25">
      <c r="A21" s="32"/>
      <c r="B21" s="33"/>
      <c r="C21" s="33"/>
      <c r="D21" s="33"/>
      <c r="E21" s="34"/>
      <c r="F21" s="35"/>
      <c r="G21" s="35"/>
      <c r="H21" s="35"/>
      <c r="I21" s="34"/>
      <c r="J21" s="35"/>
      <c r="K21" s="35"/>
      <c r="L21" s="35"/>
      <c r="M21" s="34"/>
      <c r="N21" s="35"/>
      <c r="O21" s="35"/>
      <c r="P21" s="35"/>
      <c r="Q21" s="32"/>
      <c r="R21" s="33"/>
      <c r="S21" s="33"/>
      <c r="T21" s="33"/>
      <c r="U21" s="34"/>
      <c r="V21" s="35"/>
      <c r="W21" s="35"/>
      <c r="X21" s="35"/>
      <c r="Y21" s="34"/>
      <c r="Z21" s="35"/>
      <c r="AA21" s="35"/>
      <c r="AB21" s="35"/>
      <c r="AC21" s="34"/>
      <c r="AD21" s="35"/>
      <c r="AE21" s="35"/>
      <c r="AF21" s="35"/>
      <c r="AG21" s="34"/>
      <c r="AH21" s="35"/>
      <c r="AI21" s="35"/>
      <c r="AJ21" s="35"/>
      <c r="AK21" s="34"/>
      <c r="AL21" s="35"/>
      <c r="AM21" s="35"/>
      <c r="AN21" s="35"/>
      <c r="AO21" s="32"/>
      <c r="AP21" s="33"/>
      <c r="AQ21" s="33"/>
      <c r="AR21" s="33"/>
      <c r="AS21" s="34"/>
      <c r="AT21" s="35"/>
      <c r="AU21" s="35"/>
      <c r="AV21" s="35"/>
      <c r="AW21" s="34"/>
      <c r="AX21" s="35"/>
      <c r="AY21" s="35"/>
      <c r="AZ21" s="35"/>
      <c r="BA21" s="34"/>
      <c r="BB21" s="35"/>
      <c r="BC21" s="35"/>
      <c r="BD21" s="35"/>
      <c r="BE21" s="32"/>
      <c r="BF21" s="33"/>
      <c r="BG21" s="33"/>
      <c r="BH21" s="33"/>
      <c r="BI21" s="34"/>
      <c r="BJ21" s="35"/>
      <c r="BK21" s="35"/>
      <c r="BL21" s="35"/>
      <c r="BM21" s="34"/>
      <c r="BN21" s="35"/>
      <c r="BO21" s="35"/>
      <c r="BP21" s="35"/>
      <c r="BQ21" s="34"/>
      <c r="BR21" s="35"/>
      <c r="BS21" s="35"/>
      <c r="BT21" s="35"/>
      <c r="BU21" s="32"/>
      <c r="BV21" s="33"/>
      <c r="BW21" s="33"/>
      <c r="BX21" s="33"/>
      <c r="BY21" s="34"/>
      <c r="BZ21" s="35"/>
      <c r="CA21" s="35"/>
      <c r="CB21" s="35"/>
      <c r="CC21" s="34"/>
      <c r="CD21" s="35"/>
      <c r="CE21" s="35"/>
      <c r="CF21" s="35"/>
      <c r="CG21" s="34"/>
      <c r="CH21" s="35"/>
      <c r="CI21" s="35"/>
      <c r="CJ21" s="35"/>
      <c r="CK21" s="32"/>
      <c r="CL21" s="33"/>
      <c r="CM21" s="33"/>
      <c r="CN21" s="33"/>
      <c r="CO21" s="34"/>
      <c r="CP21" s="35"/>
      <c r="CQ21" s="35"/>
      <c r="CR21" s="35"/>
      <c r="CS21" s="34"/>
      <c r="CT21" s="35"/>
      <c r="CU21" s="35"/>
      <c r="CV21" s="35"/>
      <c r="CW21" s="34"/>
      <c r="CX21" s="35"/>
      <c r="CY21" s="35"/>
      <c r="CZ21" s="35"/>
    </row>
    <row r="22" spans="1:105" s="36" customFormat="1" x14ac:dyDescent="0.25">
      <c r="A22" s="63"/>
      <c r="B22" s="33" t="s">
        <v>357</v>
      </c>
      <c r="C22" s="33"/>
      <c r="D22" s="33"/>
      <c r="E22" s="34"/>
      <c r="F22" s="35"/>
      <c r="G22" s="35"/>
      <c r="H22" s="35"/>
      <c r="I22" s="34"/>
      <c r="J22" s="35"/>
      <c r="K22" s="37" t="s">
        <v>358</v>
      </c>
      <c r="L22" s="35"/>
      <c r="M22" s="34"/>
      <c r="N22" s="35"/>
      <c r="O22" s="35"/>
      <c r="P22" s="35"/>
      <c r="Q22" s="32"/>
      <c r="R22" s="33" t="s">
        <v>357</v>
      </c>
      <c r="S22" s="33"/>
      <c r="T22" s="33"/>
      <c r="U22" s="34"/>
      <c r="V22" s="35"/>
      <c r="W22" s="35"/>
      <c r="X22" s="35"/>
      <c r="Y22" s="34"/>
      <c r="Z22" s="35"/>
      <c r="AA22" s="37" t="s">
        <v>358</v>
      </c>
      <c r="AB22" s="35"/>
      <c r="AC22" s="34"/>
      <c r="AD22" s="35"/>
      <c r="AE22" s="35"/>
      <c r="AF22" s="35"/>
      <c r="AG22" s="34"/>
      <c r="AH22" s="35"/>
      <c r="AI22" s="37"/>
      <c r="AJ22" s="35"/>
      <c r="AK22" s="34"/>
      <c r="AL22" s="35"/>
      <c r="AM22" s="35"/>
      <c r="AN22" s="35"/>
      <c r="AO22" s="32"/>
      <c r="AP22" s="33"/>
      <c r="AQ22" s="33"/>
      <c r="AR22" s="33"/>
      <c r="AS22" s="34"/>
      <c r="AT22" s="35"/>
      <c r="AU22" s="35"/>
      <c r="AV22" s="35"/>
      <c r="AW22" s="34"/>
      <c r="AX22" s="35"/>
      <c r="AY22" s="37"/>
      <c r="AZ22" s="35"/>
      <c r="BA22" s="34"/>
      <c r="BB22" s="35"/>
      <c r="BC22" s="35"/>
      <c r="BD22" s="35"/>
      <c r="BE22" s="32"/>
      <c r="BF22" s="33"/>
      <c r="BG22" s="33"/>
      <c r="BH22" s="33"/>
      <c r="BI22" s="34"/>
      <c r="BJ22" s="35"/>
      <c r="BK22" s="35"/>
      <c r="BL22" s="35"/>
      <c r="BM22" s="34"/>
      <c r="BN22" s="35"/>
      <c r="BO22" s="37"/>
      <c r="BP22" s="35"/>
      <c r="BQ22" s="34"/>
      <c r="BR22" s="35"/>
      <c r="BS22" s="35"/>
      <c r="BT22" s="35"/>
      <c r="BU22" s="32"/>
      <c r="BV22" s="33"/>
      <c r="BW22" s="33"/>
      <c r="BX22" s="33"/>
      <c r="BY22" s="34"/>
      <c r="BZ22" s="35"/>
      <c r="CA22" s="35"/>
      <c r="CB22" s="35"/>
      <c r="CC22" s="34"/>
      <c r="CD22" s="35"/>
      <c r="CE22" s="37"/>
      <c r="CF22" s="35"/>
      <c r="CG22" s="34"/>
      <c r="CH22" s="35"/>
      <c r="CI22" s="35"/>
      <c r="CJ22" s="35"/>
      <c r="CK22" s="32"/>
      <c r="CL22" s="33"/>
      <c r="CM22" s="33"/>
      <c r="CN22" s="33"/>
      <c r="CO22" s="34"/>
      <c r="CP22" s="35"/>
      <c r="CQ22" s="35"/>
      <c r="CR22" s="35"/>
      <c r="CS22" s="34"/>
      <c r="CT22" s="35"/>
      <c r="CU22" s="37"/>
      <c r="CV22" s="35"/>
      <c r="CW22" s="34"/>
      <c r="CX22" s="35"/>
      <c r="CY22" s="35"/>
      <c r="CZ22" s="35"/>
    </row>
    <row r="23" spans="1:105" s="36" customFormat="1" x14ac:dyDescent="0.25">
      <c r="A23" s="63"/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78"/>
      <c r="V23" s="78"/>
      <c r="W23" s="78"/>
      <c r="X23" s="78"/>
      <c r="Y23" s="78"/>
      <c r="Z23" s="78"/>
      <c r="AA23" s="78"/>
      <c r="AB23" s="78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32"/>
      <c r="BF23" s="33"/>
      <c r="BG23" s="33"/>
      <c r="BH23" s="33"/>
      <c r="BI23" s="34"/>
      <c r="BJ23" s="35"/>
      <c r="BK23" s="35"/>
      <c r="BL23" s="35"/>
      <c r="BM23" s="34"/>
      <c r="BN23" s="35"/>
      <c r="BO23" s="35"/>
      <c r="BP23" s="35"/>
      <c r="BQ23" s="34"/>
      <c r="BR23" s="35"/>
      <c r="BS23" s="35"/>
      <c r="BT23" s="35"/>
      <c r="BU23" s="32"/>
      <c r="BV23" s="33"/>
      <c r="BW23" s="33"/>
      <c r="BX23" s="33"/>
      <c r="BY23" s="34"/>
      <c r="BZ23" s="35"/>
      <c r="CA23" s="35"/>
      <c r="CB23" s="35"/>
      <c r="CC23" s="34"/>
      <c r="CD23" s="35"/>
      <c r="CE23" s="35"/>
      <c r="CF23" s="35"/>
      <c r="CG23" s="34"/>
      <c r="CH23" s="35"/>
      <c r="CI23" s="35"/>
      <c r="CJ23" s="35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</row>
    <row r="24" spans="1:105" s="29" customFormat="1" ht="15" customHeight="1" x14ac:dyDescent="0.25">
      <c r="A24" s="63"/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78"/>
      <c r="V24" s="78"/>
      <c r="W24" s="78"/>
      <c r="X24" s="78"/>
      <c r="Y24" s="78"/>
      <c r="Z24" s="78"/>
      <c r="AA24" s="78"/>
      <c r="AB24" s="78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</row>
    <row r="25" spans="1:105" s="29" customFormat="1" x14ac:dyDescent="0.25">
      <c r="A25" s="63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78"/>
      <c r="V25" s="78"/>
      <c r="W25" s="78"/>
      <c r="X25" s="78"/>
      <c r="Y25" s="78"/>
      <c r="Z25" s="78"/>
      <c r="AA25" s="78"/>
      <c r="AB25" s="78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</row>
    <row r="26" spans="1:105" s="6" customFormat="1" x14ac:dyDescent="0.25">
      <c r="A26" s="63"/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78"/>
      <c r="V26" s="78"/>
      <c r="W26" s="78"/>
      <c r="X26" s="78"/>
      <c r="Y26" s="78"/>
      <c r="Z26" s="78"/>
      <c r="AA26" s="78"/>
      <c r="AB26" s="78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</row>
    <row r="27" spans="1:105" s="6" customFormat="1" x14ac:dyDescent="0.25">
      <c r="A27" s="63"/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78"/>
      <c r="V27" s="78"/>
      <c r="W27" s="78"/>
      <c r="X27" s="78"/>
      <c r="Y27" s="78"/>
      <c r="Z27" s="78"/>
      <c r="AA27" s="78"/>
      <c r="AB27" s="78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</row>
    <row r="28" spans="1:105" s="6" customFormat="1" x14ac:dyDescent="0.25">
      <c r="A28" s="63"/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78"/>
      <c r="V28" s="78"/>
      <c r="W28" s="78"/>
      <c r="X28" s="78"/>
      <c r="Y28" s="78"/>
      <c r="Z28" s="78"/>
      <c r="AA28" s="78"/>
      <c r="AB28" s="78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</row>
    <row r="29" spans="1:105" s="6" customFormat="1" x14ac:dyDescent="0.25">
      <c r="A29" s="63"/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78"/>
      <c r="V29" s="78"/>
      <c r="W29" s="78"/>
      <c r="X29" s="78"/>
      <c r="Y29" s="78"/>
      <c r="Z29" s="78"/>
      <c r="AA29" s="78"/>
      <c r="AB29" s="78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</row>
    <row r="30" spans="1:105" s="6" customFormat="1" x14ac:dyDescent="0.25">
      <c r="A30" s="63"/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78"/>
      <c r="V30" s="78"/>
      <c r="W30" s="78"/>
      <c r="X30" s="78"/>
      <c r="Y30" s="78"/>
      <c r="Z30" s="78"/>
      <c r="AA30" s="78"/>
      <c r="AB30" s="78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</row>
    <row r="31" spans="1:105" s="6" customFormat="1" x14ac:dyDescent="0.25">
      <c r="A31" s="63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78"/>
      <c r="V31" s="78"/>
      <c r="W31" s="78"/>
      <c r="X31" s="78"/>
      <c r="Y31" s="78"/>
      <c r="Z31" s="78"/>
      <c r="AA31" s="78"/>
      <c r="AB31" s="78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</row>
    <row r="32" spans="1:105" s="6" customFormat="1" x14ac:dyDescent="0.25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78"/>
      <c r="V32" s="78"/>
      <c r="W32" s="78"/>
      <c r="X32" s="78"/>
      <c r="Y32" s="78"/>
      <c r="Z32" s="78"/>
      <c r="AA32" s="78"/>
      <c r="AB32" s="78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</row>
    <row r="33" spans="1:104" s="6" customFormat="1" x14ac:dyDescent="0.25">
      <c r="A33" s="63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78"/>
      <c r="V33" s="78"/>
      <c r="W33" s="78"/>
      <c r="X33" s="78"/>
      <c r="Y33" s="78"/>
      <c r="Z33" s="78"/>
      <c r="AA33" s="78"/>
      <c r="AB33" s="78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</row>
    <row r="34" spans="1:104" s="6" customFormat="1" x14ac:dyDescent="0.25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78"/>
      <c r="V34" s="78"/>
      <c r="W34" s="78"/>
      <c r="X34" s="78"/>
      <c r="Y34" s="78"/>
      <c r="Z34" s="78"/>
      <c r="AA34" s="78"/>
      <c r="AB34" s="78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</row>
    <row r="35" spans="1:104" s="6" customFormat="1" x14ac:dyDescent="0.25">
      <c r="A35" s="63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78"/>
      <c r="V35" s="78"/>
      <c r="W35" s="78"/>
      <c r="X35" s="78"/>
      <c r="Y35" s="78"/>
      <c r="Z35" s="78"/>
      <c r="AA35" s="78"/>
      <c r="AB35" s="78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</row>
    <row r="36" spans="1:104" s="6" customFormat="1" x14ac:dyDescent="0.25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78"/>
      <c r="V36" s="78"/>
      <c r="W36" s="78"/>
      <c r="X36" s="78"/>
      <c r="Y36" s="78"/>
      <c r="Z36" s="78"/>
      <c r="AA36" s="78"/>
      <c r="AB36" s="78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</row>
    <row r="37" spans="1:104" s="6" customFormat="1" x14ac:dyDescent="0.25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78"/>
      <c r="V37" s="78"/>
      <c r="W37" s="78"/>
      <c r="X37" s="78"/>
      <c r="Y37" s="78"/>
      <c r="Z37" s="78"/>
      <c r="AA37" s="78"/>
      <c r="AB37" s="78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</row>
    <row r="38" spans="1:104" s="6" customFormat="1" x14ac:dyDescent="0.25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78"/>
      <c r="V38" s="78"/>
      <c r="W38" s="78"/>
      <c r="X38" s="78"/>
      <c r="Y38" s="78"/>
      <c r="Z38" s="78"/>
      <c r="AA38" s="78"/>
      <c r="AB38" s="78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</row>
    <row r="39" spans="1:104" s="6" customFormat="1" x14ac:dyDescent="0.25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78"/>
      <c r="V39" s="78"/>
      <c r="W39" s="78"/>
      <c r="X39" s="78"/>
      <c r="Y39" s="78"/>
      <c r="Z39" s="78"/>
      <c r="AA39" s="78"/>
      <c r="AB39" s="78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</row>
    <row r="40" spans="1:104" s="6" customForma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78"/>
      <c r="V40" s="78"/>
      <c r="W40" s="78"/>
      <c r="X40" s="78"/>
      <c r="Y40" s="78"/>
      <c r="Z40" s="78"/>
      <c r="AA40" s="78"/>
      <c r="AB40" s="78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</row>
    <row r="41" spans="1:104" s="36" customFormat="1" ht="10.5" customHeight="1" x14ac:dyDescent="0.25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78"/>
      <c r="V41" s="78"/>
      <c r="W41" s="78"/>
      <c r="X41" s="78"/>
      <c r="Y41" s="78"/>
      <c r="Z41" s="78"/>
      <c r="AA41" s="78"/>
      <c r="AB41" s="78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</row>
    <row r="42" spans="1:104" s="36" customFormat="1" x14ac:dyDescent="0.25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78"/>
      <c r="V42" s="78"/>
      <c r="W42" s="78"/>
      <c r="X42" s="78"/>
      <c r="Y42" s="78"/>
      <c r="Z42" s="78"/>
      <c r="AA42" s="78"/>
      <c r="AB42" s="78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</row>
    <row r="43" spans="1:104" s="36" customFormat="1" x14ac:dyDescent="0.25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78"/>
      <c r="V43" s="78"/>
      <c r="W43" s="78"/>
      <c r="X43" s="78"/>
      <c r="Y43" s="78"/>
      <c r="Z43" s="78"/>
      <c r="AA43" s="78"/>
      <c r="AB43" s="78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</row>
    <row r="44" spans="1:104" s="29" customFormat="1" ht="15" customHeight="1" x14ac:dyDescent="0.25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78"/>
      <c r="V44" s="78"/>
      <c r="W44" s="78"/>
      <c r="X44" s="78"/>
      <c r="Y44" s="78"/>
      <c r="Z44" s="78"/>
      <c r="AA44" s="78"/>
      <c r="AB44" s="78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</row>
    <row r="45" spans="1:104" s="29" customFormat="1" x14ac:dyDescent="0.25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78"/>
      <c r="V45" s="78"/>
      <c r="W45" s="78"/>
      <c r="X45" s="78"/>
      <c r="Y45" s="78"/>
      <c r="Z45" s="78"/>
      <c r="AA45" s="78"/>
      <c r="AB45" s="78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</row>
    <row r="46" spans="1:104" s="6" customFormat="1" x14ac:dyDescent="0.25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78"/>
      <c r="V46" s="78"/>
      <c r="W46" s="78"/>
      <c r="X46" s="78"/>
      <c r="Y46" s="78"/>
      <c r="Z46" s="78"/>
      <c r="AA46" s="78"/>
      <c r="AB46" s="78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</row>
    <row r="47" spans="1:104" s="6" customFormat="1" x14ac:dyDescent="0.25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78"/>
      <c r="V47" s="78"/>
      <c r="W47" s="78"/>
      <c r="X47" s="78"/>
      <c r="Y47" s="78"/>
      <c r="Z47" s="78"/>
      <c r="AA47" s="78"/>
      <c r="AB47" s="78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</row>
    <row r="48" spans="1:104" s="6" customFormat="1" x14ac:dyDescent="0.25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78"/>
      <c r="V48" s="78"/>
      <c r="W48" s="78"/>
      <c r="X48" s="78"/>
      <c r="Y48" s="78"/>
      <c r="Z48" s="78"/>
      <c r="AA48" s="78"/>
      <c r="AB48" s="78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</row>
    <row r="49" spans="1:104" s="6" customFormat="1" x14ac:dyDescent="0.25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78"/>
      <c r="V49" s="78"/>
      <c r="W49" s="78"/>
      <c r="X49" s="78"/>
      <c r="Y49" s="78"/>
      <c r="Z49" s="78"/>
      <c r="AA49" s="78"/>
      <c r="AB49" s="78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</row>
    <row r="50" spans="1:104" s="6" customFormat="1" x14ac:dyDescent="0.25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78"/>
      <c r="V50" s="78"/>
      <c r="W50" s="78"/>
      <c r="X50" s="78"/>
      <c r="Y50" s="78"/>
      <c r="Z50" s="78"/>
      <c r="AA50" s="78"/>
      <c r="AB50" s="78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</row>
    <row r="51" spans="1:104" s="6" customFormat="1" x14ac:dyDescent="0.25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78"/>
      <c r="V51" s="78"/>
      <c r="W51" s="78"/>
      <c r="X51" s="78"/>
      <c r="Y51" s="78"/>
      <c r="Z51" s="78"/>
      <c r="AA51" s="78"/>
      <c r="AB51" s="78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</row>
    <row r="52" spans="1:104" s="6" customFormat="1" x14ac:dyDescent="0.25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78"/>
      <c r="V52" s="78"/>
      <c r="W52" s="78"/>
      <c r="X52" s="78"/>
      <c r="Y52" s="78"/>
      <c r="Z52" s="78"/>
      <c r="AA52" s="78"/>
      <c r="AB52" s="78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</row>
    <row r="53" spans="1:104" s="6" customFormat="1" x14ac:dyDescent="0.25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78"/>
      <c r="V53" s="78"/>
      <c r="W53" s="78"/>
      <c r="X53" s="78"/>
      <c r="Y53" s="78"/>
      <c r="Z53" s="78"/>
      <c r="AA53" s="78"/>
      <c r="AB53" s="78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</row>
    <row r="54" spans="1:104" s="6" customFormat="1" x14ac:dyDescent="0.25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78"/>
      <c r="V54" s="78"/>
      <c r="W54" s="78"/>
      <c r="X54" s="78"/>
      <c r="Y54" s="78"/>
      <c r="Z54" s="78"/>
      <c r="AA54" s="78"/>
      <c r="AB54" s="78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</row>
    <row r="55" spans="1:104" s="6" customFormat="1" x14ac:dyDescent="0.25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78"/>
      <c r="V55" s="78"/>
      <c r="W55" s="78"/>
      <c r="X55" s="78"/>
      <c r="Y55" s="78"/>
      <c r="Z55" s="78"/>
      <c r="AA55" s="78"/>
      <c r="AB55" s="78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</row>
    <row r="56" spans="1:104" s="6" customFormat="1" x14ac:dyDescent="0.25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78"/>
      <c r="V56" s="78"/>
      <c r="W56" s="78"/>
      <c r="X56" s="78"/>
      <c r="Y56" s="78"/>
      <c r="Z56" s="78"/>
      <c r="AA56" s="78"/>
      <c r="AB56" s="78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</row>
    <row r="57" spans="1:104" s="6" customFormat="1" x14ac:dyDescent="0.25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78"/>
      <c r="V57" s="78"/>
      <c r="W57" s="78"/>
      <c r="X57" s="78"/>
      <c r="Y57" s="78"/>
      <c r="Z57" s="78"/>
      <c r="AA57" s="78"/>
      <c r="AB57" s="78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</row>
    <row r="58" spans="1:104" s="6" customFormat="1" x14ac:dyDescent="0.25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78"/>
      <c r="V58" s="78"/>
      <c r="W58" s="78"/>
      <c r="X58" s="78"/>
      <c r="Y58" s="78"/>
      <c r="Z58" s="78"/>
      <c r="AA58" s="78"/>
      <c r="AB58" s="78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</row>
    <row r="59" spans="1:104" s="6" customFormat="1" x14ac:dyDescent="0.25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78"/>
      <c r="V59" s="78"/>
      <c r="W59" s="78"/>
      <c r="X59" s="78"/>
      <c r="Y59" s="78"/>
      <c r="Z59" s="78"/>
      <c r="AA59" s="78"/>
      <c r="AB59" s="78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</row>
    <row r="60" spans="1:104" s="6" customFormat="1" x14ac:dyDescent="0.25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78"/>
      <c r="V60" s="78"/>
      <c r="W60" s="78"/>
      <c r="X60" s="78"/>
      <c r="Y60" s="78"/>
      <c r="Z60" s="78"/>
      <c r="AA60" s="78"/>
      <c r="AB60" s="78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</row>
    <row r="61" spans="1:104" s="36" customFormat="1" ht="10.5" customHeight="1" x14ac:dyDescent="0.25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78"/>
      <c r="V61" s="78"/>
      <c r="W61" s="78"/>
      <c r="X61" s="78"/>
      <c r="Y61" s="78"/>
      <c r="Z61" s="78"/>
      <c r="AA61" s="78"/>
      <c r="AB61" s="78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</row>
    <row r="62" spans="1:104" s="36" customFormat="1" x14ac:dyDescent="0.25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78"/>
      <c r="V62" s="78"/>
      <c r="W62" s="78"/>
      <c r="X62" s="78"/>
      <c r="Y62" s="78"/>
      <c r="Z62" s="78"/>
      <c r="AA62" s="78"/>
      <c r="AB62" s="78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</row>
    <row r="63" spans="1:104" s="36" customFormat="1" x14ac:dyDescent="0.25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78"/>
      <c r="V63" s="78"/>
      <c r="W63" s="78"/>
      <c r="X63" s="78"/>
      <c r="Y63" s="78"/>
      <c r="Z63" s="78"/>
      <c r="AA63" s="78"/>
      <c r="AB63" s="78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</row>
    <row r="64" spans="1:104" s="29" customFormat="1" ht="15" customHeight="1" x14ac:dyDescent="0.25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78"/>
      <c r="V64" s="78"/>
      <c r="W64" s="78"/>
      <c r="X64" s="78"/>
      <c r="Y64" s="78"/>
      <c r="Z64" s="78"/>
      <c r="AA64" s="78"/>
      <c r="AB64" s="78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</row>
    <row r="65" spans="1:104" s="29" customFormat="1" x14ac:dyDescent="0.25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78"/>
      <c r="V65" s="78"/>
      <c r="W65" s="78"/>
      <c r="X65" s="78"/>
      <c r="Y65" s="78"/>
      <c r="Z65" s="78"/>
      <c r="AA65" s="78"/>
      <c r="AB65" s="78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</row>
    <row r="66" spans="1:104" s="6" customFormat="1" x14ac:dyDescent="0.25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78"/>
      <c r="V66" s="78"/>
      <c r="W66" s="78"/>
      <c r="X66" s="78"/>
      <c r="Y66" s="78"/>
      <c r="Z66" s="78"/>
      <c r="AA66" s="78"/>
      <c r="AB66" s="78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</row>
    <row r="67" spans="1:104" s="6" customFormat="1" x14ac:dyDescent="0.25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78"/>
      <c r="V67" s="78"/>
      <c r="W67" s="78"/>
      <c r="X67" s="78"/>
      <c r="Y67" s="78"/>
      <c r="Z67" s="78"/>
      <c r="AA67" s="78"/>
      <c r="AB67" s="78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</row>
    <row r="68" spans="1:104" s="6" customFormat="1" x14ac:dyDescent="0.25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78"/>
      <c r="V68" s="78"/>
      <c r="W68" s="78"/>
      <c r="X68" s="78"/>
      <c r="Y68" s="78"/>
      <c r="Z68" s="78"/>
      <c r="AA68" s="78"/>
      <c r="AB68" s="78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</row>
    <row r="69" spans="1:104" s="6" customFormat="1" x14ac:dyDescent="0.25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78"/>
      <c r="V69" s="78"/>
      <c r="W69" s="78"/>
      <c r="X69" s="78"/>
      <c r="Y69" s="78"/>
      <c r="Z69" s="78"/>
      <c r="AA69" s="78"/>
      <c r="AB69" s="78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</row>
    <row r="70" spans="1:104" s="6" customFormat="1" x14ac:dyDescent="0.25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78"/>
      <c r="V70" s="78"/>
      <c r="W70" s="78"/>
      <c r="X70" s="78"/>
      <c r="Y70" s="78"/>
      <c r="Z70" s="78"/>
      <c r="AA70" s="78"/>
      <c r="AB70" s="78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</row>
    <row r="71" spans="1:104" s="6" customFormat="1" x14ac:dyDescent="0.25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78"/>
      <c r="V71" s="78"/>
      <c r="W71" s="78"/>
      <c r="X71" s="78"/>
      <c r="Y71" s="78"/>
      <c r="Z71" s="78"/>
      <c r="AA71" s="78"/>
      <c r="AB71" s="78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</row>
    <row r="72" spans="1:104" s="6" customFormat="1" x14ac:dyDescent="0.25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78"/>
      <c r="V72" s="78"/>
      <c r="W72" s="78"/>
      <c r="X72" s="78"/>
      <c r="Y72" s="78"/>
      <c r="Z72" s="78"/>
      <c r="AA72" s="78"/>
      <c r="AB72" s="78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</row>
    <row r="73" spans="1:104" s="6" customFormat="1" x14ac:dyDescent="0.25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78"/>
      <c r="V73" s="78"/>
      <c r="W73" s="78"/>
      <c r="X73" s="78"/>
      <c r="Y73" s="78"/>
      <c r="Z73" s="78"/>
      <c r="AA73" s="78"/>
      <c r="AB73" s="78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</row>
    <row r="74" spans="1:104" s="6" customFormat="1" x14ac:dyDescent="0.25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78"/>
      <c r="V74" s="78"/>
      <c r="W74" s="78"/>
      <c r="X74" s="78"/>
      <c r="Y74" s="78"/>
      <c r="Z74" s="78"/>
      <c r="AA74" s="78"/>
      <c r="AB74" s="78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</row>
    <row r="75" spans="1:104" s="6" customFormat="1" x14ac:dyDescent="0.25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78"/>
      <c r="V75" s="78"/>
      <c r="W75" s="78"/>
      <c r="X75" s="78"/>
      <c r="Y75" s="78"/>
      <c r="Z75" s="78"/>
      <c r="AA75" s="78"/>
      <c r="AB75" s="78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</row>
    <row r="76" spans="1:104" s="6" customFormat="1" x14ac:dyDescent="0.25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78"/>
      <c r="V76" s="78"/>
      <c r="W76" s="78"/>
      <c r="X76" s="78"/>
      <c r="Y76" s="78"/>
      <c r="Z76" s="78"/>
      <c r="AA76" s="78"/>
      <c r="AB76" s="78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</row>
    <row r="77" spans="1:104" s="6" customFormat="1" x14ac:dyDescent="0.25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78"/>
      <c r="V77" s="78"/>
      <c r="W77" s="78"/>
      <c r="X77" s="78"/>
      <c r="Y77" s="78"/>
      <c r="Z77" s="78"/>
      <c r="AA77" s="78"/>
      <c r="AB77" s="78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</row>
    <row r="78" spans="1:104" s="6" customFormat="1" x14ac:dyDescent="0.25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78"/>
      <c r="V78" s="78"/>
      <c r="W78" s="78"/>
      <c r="X78" s="78"/>
      <c r="Y78" s="78"/>
      <c r="Z78" s="78"/>
      <c r="AA78" s="78"/>
      <c r="AB78" s="78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</row>
    <row r="79" spans="1:104" s="6" customFormat="1" x14ac:dyDescent="0.25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78"/>
      <c r="V79" s="78"/>
      <c r="W79" s="78"/>
      <c r="X79" s="78"/>
      <c r="Y79" s="78"/>
      <c r="Z79" s="78"/>
      <c r="AA79" s="78"/>
      <c r="AB79" s="78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</row>
    <row r="80" spans="1:104" s="6" customFormat="1" x14ac:dyDescent="0.25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78"/>
      <c r="V80" s="78"/>
      <c r="W80" s="78"/>
      <c r="X80" s="78"/>
      <c r="Y80" s="78"/>
      <c r="Z80" s="78"/>
      <c r="AA80" s="78"/>
      <c r="AB80" s="78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</row>
    <row r="81" spans="1:104" s="36" customFormat="1" ht="8.25" customHeight="1" x14ac:dyDescent="0.25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78"/>
      <c r="V81" s="78"/>
      <c r="W81" s="78"/>
      <c r="X81" s="78"/>
      <c r="Y81" s="78"/>
      <c r="Z81" s="78"/>
      <c r="AA81" s="78"/>
      <c r="AB81" s="78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</row>
    <row r="82" spans="1:104" s="36" customFormat="1" x14ac:dyDescent="0.25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78"/>
      <c r="V82" s="78"/>
      <c r="W82" s="78"/>
      <c r="X82" s="78"/>
      <c r="Y82" s="78"/>
      <c r="Z82" s="78"/>
      <c r="AA82" s="78"/>
      <c r="AB82" s="78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</row>
    <row r="83" spans="1:104" s="36" customFormat="1" x14ac:dyDescent="0.25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78"/>
      <c r="V83" s="78"/>
      <c r="W83" s="78"/>
      <c r="X83" s="78"/>
      <c r="Y83" s="78"/>
      <c r="Z83" s="78"/>
      <c r="AA83" s="78"/>
      <c r="AB83" s="78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</row>
    <row r="84" spans="1:104" s="29" customFormat="1" ht="15" customHeight="1" x14ac:dyDescent="0.25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78"/>
      <c r="V84" s="78"/>
      <c r="W84" s="78"/>
      <c r="X84" s="78"/>
      <c r="Y84" s="78"/>
      <c r="Z84" s="78"/>
      <c r="AA84" s="78"/>
      <c r="AB84" s="78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</row>
    <row r="85" spans="1:104" s="29" customFormat="1" x14ac:dyDescent="0.25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78"/>
      <c r="V85" s="78"/>
      <c r="W85" s="78"/>
      <c r="X85" s="78"/>
      <c r="Y85" s="78"/>
      <c r="Z85" s="78"/>
      <c r="AA85" s="78"/>
      <c r="AB85" s="78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</row>
    <row r="86" spans="1:104" s="6" customFormat="1" x14ac:dyDescent="0.25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78"/>
      <c r="V86" s="78"/>
      <c r="W86" s="78"/>
      <c r="X86" s="78"/>
      <c r="Y86" s="78"/>
      <c r="Z86" s="78"/>
      <c r="AA86" s="78"/>
      <c r="AB86" s="78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</row>
    <row r="87" spans="1:104" s="6" customFormat="1" x14ac:dyDescent="0.25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78"/>
      <c r="V87" s="78"/>
      <c r="W87" s="78"/>
      <c r="X87" s="78"/>
      <c r="Y87" s="78"/>
      <c r="Z87" s="78"/>
      <c r="AA87" s="78"/>
      <c r="AB87" s="78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</row>
    <row r="88" spans="1:104" s="6" customFormat="1" x14ac:dyDescent="0.25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78"/>
      <c r="V88" s="78"/>
      <c r="W88" s="78"/>
      <c r="X88" s="78"/>
      <c r="Y88" s="78"/>
      <c r="Z88" s="78"/>
      <c r="AA88" s="78"/>
      <c r="AB88" s="78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</row>
    <row r="89" spans="1:104" s="6" customFormat="1" x14ac:dyDescent="0.25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78"/>
      <c r="V89" s="78"/>
      <c r="W89" s="78"/>
      <c r="X89" s="78"/>
      <c r="Y89" s="78"/>
      <c r="Z89" s="78"/>
      <c r="AA89" s="78"/>
      <c r="AB89" s="78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</row>
    <row r="90" spans="1:104" s="6" customFormat="1" x14ac:dyDescent="0.25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78"/>
      <c r="V90" s="78"/>
      <c r="W90" s="78"/>
      <c r="X90" s="78"/>
      <c r="Y90" s="78"/>
      <c r="Z90" s="78"/>
      <c r="AA90" s="78"/>
      <c r="AB90" s="78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63"/>
      <c r="BX90" s="63"/>
      <c r="BY90" s="63"/>
      <c r="BZ90" s="63"/>
      <c r="CA90" s="63"/>
      <c r="CB90" s="63"/>
      <c r="CC90" s="63"/>
      <c r="CD90" s="63"/>
      <c r="CE90" s="63"/>
      <c r="CF90" s="63"/>
      <c r="CG90" s="63"/>
      <c r="CH90" s="63"/>
      <c r="CI90" s="63"/>
      <c r="CJ90" s="63"/>
      <c r="CK90" s="63"/>
      <c r="CL90" s="63"/>
      <c r="CM90" s="63"/>
      <c r="CN90" s="63"/>
      <c r="CO90" s="63"/>
      <c r="CP90" s="63"/>
      <c r="CQ90" s="63"/>
      <c r="CR90" s="63"/>
      <c r="CS90" s="63"/>
      <c r="CT90" s="63"/>
      <c r="CU90" s="63"/>
      <c r="CV90" s="63"/>
      <c r="CW90" s="63"/>
      <c r="CX90" s="63"/>
      <c r="CY90" s="63"/>
      <c r="CZ90" s="63"/>
    </row>
    <row r="91" spans="1:104" s="6" customFormat="1" x14ac:dyDescent="0.25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78"/>
      <c r="V91" s="78"/>
      <c r="W91" s="78"/>
      <c r="X91" s="78"/>
      <c r="Y91" s="78"/>
      <c r="Z91" s="78"/>
      <c r="AA91" s="78"/>
      <c r="AB91" s="78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3"/>
      <c r="CW91" s="63"/>
      <c r="CX91" s="63"/>
      <c r="CY91" s="63"/>
      <c r="CZ91" s="63"/>
    </row>
    <row r="92" spans="1:104" s="6" customFormat="1" x14ac:dyDescent="0.25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78"/>
      <c r="V92" s="78"/>
      <c r="W92" s="78"/>
      <c r="X92" s="78"/>
      <c r="Y92" s="78"/>
      <c r="Z92" s="78"/>
      <c r="AA92" s="78"/>
      <c r="AB92" s="78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63"/>
      <c r="CF92" s="63"/>
      <c r="CG92" s="63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  <c r="CS92" s="63"/>
      <c r="CT92" s="63"/>
      <c r="CU92" s="63"/>
      <c r="CV92" s="63"/>
      <c r="CW92" s="63"/>
      <c r="CX92" s="63"/>
      <c r="CY92" s="63"/>
      <c r="CZ92" s="63"/>
    </row>
    <row r="93" spans="1:104" s="6" customFormat="1" x14ac:dyDescent="0.25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78"/>
      <c r="V93" s="78"/>
      <c r="W93" s="78"/>
      <c r="X93" s="78"/>
      <c r="Y93" s="78"/>
      <c r="Z93" s="78"/>
      <c r="AA93" s="78"/>
      <c r="AB93" s="78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63"/>
      <c r="CF93" s="63"/>
      <c r="CG93" s="63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  <c r="CS93" s="63"/>
      <c r="CT93" s="63"/>
      <c r="CU93" s="63"/>
      <c r="CV93" s="63"/>
      <c r="CW93" s="63"/>
      <c r="CX93" s="63"/>
      <c r="CY93" s="63"/>
      <c r="CZ93" s="63"/>
    </row>
    <row r="94" spans="1:104" s="6" customFormat="1" x14ac:dyDescent="0.25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78"/>
      <c r="V94" s="78"/>
      <c r="W94" s="78"/>
      <c r="X94" s="78"/>
      <c r="Y94" s="78"/>
      <c r="Z94" s="78"/>
      <c r="AA94" s="78"/>
      <c r="AB94" s="78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63"/>
      <c r="BR94" s="63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63"/>
      <c r="CE94" s="63"/>
      <c r="CF94" s="63"/>
      <c r="CG94" s="63"/>
      <c r="CH94" s="63"/>
      <c r="CI94" s="63"/>
      <c r="CJ94" s="63"/>
      <c r="CK94" s="63"/>
      <c r="CL94" s="63"/>
      <c r="CM94" s="63"/>
      <c r="CN94" s="63"/>
      <c r="CO94" s="63"/>
      <c r="CP94" s="63"/>
      <c r="CQ94" s="63"/>
      <c r="CR94" s="63"/>
      <c r="CS94" s="63"/>
      <c r="CT94" s="63"/>
      <c r="CU94" s="63"/>
      <c r="CV94" s="63"/>
      <c r="CW94" s="63"/>
      <c r="CX94" s="63"/>
      <c r="CY94" s="63"/>
      <c r="CZ94" s="63"/>
    </row>
    <row r="95" spans="1:104" s="6" customFormat="1" x14ac:dyDescent="0.2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78"/>
      <c r="V95" s="78"/>
      <c r="W95" s="78"/>
      <c r="X95" s="78"/>
      <c r="Y95" s="78"/>
      <c r="Z95" s="78"/>
      <c r="AA95" s="78"/>
      <c r="AB95" s="78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  <c r="CA95" s="63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  <c r="CS95" s="63"/>
      <c r="CT95" s="63"/>
      <c r="CU95" s="63"/>
      <c r="CV95" s="63"/>
      <c r="CW95" s="63"/>
      <c r="CX95" s="63"/>
      <c r="CY95" s="63"/>
      <c r="CZ95" s="63"/>
    </row>
    <row r="96" spans="1:104" s="6" customFormat="1" x14ac:dyDescent="0.25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78"/>
      <c r="V96" s="78"/>
      <c r="W96" s="78"/>
      <c r="X96" s="78"/>
      <c r="Y96" s="78"/>
      <c r="Z96" s="78"/>
      <c r="AA96" s="78"/>
      <c r="AB96" s="78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  <c r="BW96" s="63"/>
      <c r="BX96" s="63"/>
      <c r="BY96" s="63"/>
      <c r="BZ96" s="63"/>
      <c r="CA96" s="63"/>
      <c r="CB96" s="63"/>
      <c r="CC96" s="63"/>
      <c r="CD96" s="63"/>
      <c r="CE96" s="63"/>
      <c r="CF96" s="63"/>
      <c r="CG96" s="63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3"/>
      <c r="CW96" s="63"/>
      <c r="CX96" s="63"/>
      <c r="CY96" s="63"/>
      <c r="CZ96" s="63"/>
    </row>
    <row r="97" spans="1:104" s="6" customFormat="1" x14ac:dyDescent="0.25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78"/>
      <c r="V97" s="78"/>
      <c r="W97" s="78"/>
      <c r="X97" s="78"/>
      <c r="Y97" s="78"/>
      <c r="Z97" s="78"/>
      <c r="AA97" s="78"/>
      <c r="AB97" s="78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</row>
    <row r="98" spans="1:104" s="6" customFormat="1" x14ac:dyDescent="0.25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78"/>
      <c r="V98" s="78"/>
      <c r="W98" s="78"/>
      <c r="X98" s="78"/>
      <c r="Y98" s="78"/>
      <c r="Z98" s="78"/>
      <c r="AA98" s="78"/>
      <c r="AB98" s="78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</row>
    <row r="99" spans="1:104" s="6" customFormat="1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78"/>
      <c r="V99" s="78"/>
      <c r="W99" s="78"/>
      <c r="X99" s="78"/>
      <c r="Y99" s="78"/>
      <c r="Z99" s="78"/>
      <c r="AA99" s="78"/>
      <c r="AB99" s="78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BY99" s="63"/>
      <c r="BZ99" s="63"/>
      <c r="CA99" s="63"/>
      <c r="CB99" s="63"/>
      <c r="CC99" s="63"/>
      <c r="CD99" s="63"/>
      <c r="CE99" s="63"/>
      <c r="CF99" s="63"/>
      <c r="CG99" s="63"/>
      <c r="CH99" s="63"/>
      <c r="CI99" s="63"/>
      <c r="CJ99" s="63"/>
      <c r="CK99" s="63"/>
      <c r="CL99" s="63"/>
      <c r="CM99" s="63"/>
      <c r="CN99" s="63"/>
      <c r="CO99" s="63"/>
      <c r="CP99" s="63"/>
      <c r="CQ99" s="63"/>
      <c r="CR99" s="63"/>
      <c r="CS99" s="63"/>
      <c r="CT99" s="63"/>
      <c r="CU99" s="63"/>
      <c r="CV99" s="63"/>
      <c r="CW99" s="63"/>
      <c r="CX99" s="63"/>
      <c r="CY99" s="63"/>
      <c r="CZ99" s="63"/>
    </row>
    <row r="100" spans="1:104" s="6" customFormat="1" x14ac:dyDescent="0.25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78"/>
      <c r="V100" s="78"/>
      <c r="W100" s="78"/>
      <c r="X100" s="78"/>
      <c r="Y100" s="78"/>
      <c r="Z100" s="78"/>
      <c r="AA100" s="78"/>
      <c r="AB100" s="78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63"/>
      <c r="BO100" s="63"/>
      <c r="BP100" s="63"/>
      <c r="BQ100" s="63"/>
      <c r="BR100" s="63"/>
      <c r="BS100" s="63"/>
      <c r="BT100" s="63"/>
      <c r="BU100" s="63"/>
      <c r="BV100" s="63"/>
      <c r="BW100" s="63"/>
      <c r="BX100" s="63"/>
      <c r="BY100" s="63"/>
      <c r="BZ100" s="63"/>
      <c r="CA100" s="63"/>
      <c r="CB100" s="63"/>
      <c r="CC100" s="63"/>
      <c r="CD100" s="63"/>
      <c r="CE100" s="63"/>
      <c r="CF100" s="63"/>
      <c r="CG100" s="63"/>
      <c r="CH100" s="63"/>
      <c r="CI100" s="63"/>
      <c r="CJ100" s="63"/>
      <c r="CK100" s="63"/>
      <c r="CL100" s="63"/>
      <c r="CM100" s="63"/>
      <c r="CN100" s="63"/>
      <c r="CO100" s="63"/>
      <c r="CP100" s="63"/>
      <c r="CQ100" s="63"/>
      <c r="CR100" s="63"/>
      <c r="CS100" s="63"/>
      <c r="CT100" s="63"/>
      <c r="CU100" s="63"/>
      <c r="CV100" s="63"/>
      <c r="CW100" s="63"/>
      <c r="CX100" s="63"/>
      <c r="CY100" s="63"/>
      <c r="CZ100" s="63"/>
    </row>
    <row r="101" spans="1:104" s="36" customFormat="1" ht="8.25" customHeight="1" x14ac:dyDescent="0.25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78"/>
      <c r="V101" s="78"/>
      <c r="W101" s="78"/>
      <c r="X101" s="78"/>
      <c r="Y101" s="78"/>
      <c r="Z101" s="78"/>
      <c r="AA101" s="78"/>
      <c r="AB101" s="78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63"/>
      <c r="BO101" s="63"/>
      <c r="BP101" s="63"/>
      <c r="BQ101" s="63"/>
      <c r="BR101" s="63"/>
      <c r="BS101" s="63"/>
      <c r="BT101" s="63"/>
      <c r="BU101" s="63"/>
      <c r="BV101" s="63"/>
      <c r="BW101" s="63"/>
      <c r="BX101" s="63"/>
      <c r="BY101" s="63"/>
      <c r="BZ101" s="63"/>
      <c r="CA101" s="63"/>
      <c r="CB101" s="63"/>
      <c r="CC101" s="63"/>
      <c r="CD101" s="63"/>
      <c r="CE101" s="63"/>
      <c r="CF101" s="63"/>
      <c r="CG101" s="63"/>
      <c r="CH101" s="63"/>
      <c r="CI101" s="63"/>
      <c r="CJ101" s="63"/>
      <c r="CK101" s="63"/>
      <c r="CL101" s="63"/>
      <c r="CM101" s="63"/>
      <c r="CN101" s="63"/>
      <c r="CO101" s="63"/>
      <c r="CP101" s="63"/>
      <c r="CQ101" s="63"/>
      <c r="CR101" s="63"/>
      <c r="CS101" s="63"/>
      <c r="CT101" s="63"/>
      <c r="CU101" s="63"/>
      <c r="CV101" s="63"/>
      <c r="CW101" s="63"/>
      <c r="CX101" s="63"/>
      <c r="CY101" s="63"/>
      <c r="CZ101" s="63"/>
    </row>
    <row r="102" spans="1:104" s="36" customFormat="1" x14ac:dyDescent="0.25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78"/>
      <c r="V102" s="78"/>
      <c r="W102" s="78"/>
      <c r="X102" s="78"/>
      <c r="Y102" s="78"/>
      <c r="Z102" s="78"/>
      <c r="AA102" s="78"/>
      <c r="AB102" s="78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  <c r="CA102" s="63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  <c r="CS102" s="63"/>
      <c r="CT102" s="63"/>
      <c r="CU102" s="63"/>
      <c r="CV102" s="63"/>
      <c r="CW102" s="63"/>
      <c r="CX102" s="63"/>
      <c r="CY102" s="63"/>
      <c r="CZ102" s="63"/>
    </row>
  </sheetData>
  <sortState ref="A13:H20">
    <sortCondition ref="A13:A20"/>
  </sortState>
  <mergeCells count="103">
    <mergeCell ref="Q1:AN1"/>
    <mergeCell ref="AO1:BD1"/>
    <mergeCell ref="BE1:BT1"/>
    <mergeCell ref="BU1:CJ1"/>
    <mergeCell ref="CK1:CZ1"/>
    <mergeCell ref="A2:P2"/>
    <mergeCell ref="Q2:AN2"/>
    <mergeCell ref="AO2:BD2"/>
    <mergeCell ref="BE2:BT2"/>
    <mergeCell ref="BU2:CJ2"/>
    <mergeCell ref="A4:P4"/>
    <mergeCell ref="Q4:AN4"/>
    <mergeCell ref="AO4:BD4"/>
    <mergeCell ref="BE4:BT4"/>
    <mergeCell ref="BU4:CJ4"/>
    <mergeCell ref="CK4:CZ4"/>
    <mergeCell ref="CK2:CZ2"/>
    <mergeCell ref="A3:P3"/>
    <mergeCell ref="Q3:AN3"/>
    <mergeCell ref="AO3:BD3"/>
    <mergeCell ref="BE3:BT3"/>
    <mergeCell ref="BU3:CJ3"/>
    <mergeCell ref="CK3:CZ3"/>
    <mergeCell ref="A6:P6"/>
    <mergeCell ref="Q6:AN6"/>
    <mergeCell ref="AO6:BD6"/>
    <mergeCell ref="BE6:BT6"/>
    <mergeCell ref="BU6:CJ6"/>
    <mergeCell ref="CK6:CZ6"/>
    <mergeCell ref="A5:P5"/>
    <mergeCell ref="Q5:AN5"/>
    <mergeCell ref="AO5:BD5"/>
    <mergeCell ref="BE5:BT5"/>
    <mergeCell ref="BU5:CJ5"/>
    <mergeCell ref="CK5:CZ5"/>
    <mergeCell ref="A8:P8"/>
    <mergeCell ref="Q8:AN8"/>
    <mergeCell ref="AO8:BD8"/>
    <mergeCell ref="BE8:BT8"/>
    <mergeCell ref="BU8:CJ8"/>
    <mergeCell ref="CK8:CZ8"/>
    <mergeCell ref="A7:P7"/>
    <mergeCell ref="Q7:AN7"/>
    <mergeCell ref="AO7:BD7"/>
    <mergeCell ref="BE7:BT7"/>
    <mergeCell ref="BU7:CJ7"/>
    <mergeCell ref="CK7:CZ7"/>
    <mergeCell ref="BE10:BT10"/>
    <mergeCell ref="BU10:CJ10"/>
    <mergeCell ref="CK10:CZ10"/>
    <mergeCell ref="A9:P9"/>
    <mergeCell ref="Q9:AN9"/>
    <mergeCell ref="AO9:BD9"/>
    <mergeCell ref="BE9:BT9"/>
    <mergeCell ref="BU9:CJ9"/>
    <mergeCell ref="CK9:CZ9"/>
    <mergeCell ref="A11:A12"/>
    <mergeCell ref="B11:B12"/>
    <mergeCell ref="C11:C12"/>
    <mergeCell ref="D11:D12"/>
    <mergeCell ref="F11:H11"/>
    <mergeCell ref="J11:L11"/>
    <mergeCell ref="A10:P10"/>
    <mergeCell ref="Q10:AN10"/>
    <mergeCell ref="AO10:BD10"/>
    <mergeCell ref="AH11:AJ11"/>
    <mergeCell ref="AL11:AN11"/>
    <mergeCell ref="AO11:AO12"/>
    <mergeCell ref="AP11:AP12"/>
    <mergeCell ref="AQ11:AQ12"/>
    <mergeCell ref="AR11:AR12"/>
    <mergeCell ref="N11:P11"/>
    <mergeCell ref="Q11:Q12"/>
    <mergeCell ref="R11:R12"/>
    <mergeCell ref="S11:S12"/>
    <mergeCell ref="T11:T12"/>
    <mergeCell ref="AD11:AF11"/>
    <mergeCell ref="V11:X11"/>
    <mergeCell ref="Z11:AB11"/>
    <mergeCell ref="BH11:BH12"/>
    <mergeCell ref="BJ11:BL11"/>
    <mergeCell ref="BN11:BP11"/>
    <mergeCell ref="BR11:BT11"/>
    <mergeCell ref="BU11:BU12"/>
    <mergeCell ref="BV11:BV12"/>
    <mergeCell ref="AT11:AV11"/>
    <mergeCell ref="AX11:AZ11"/>
    <mergeCell ref="BB11:BD11"/>
    <mergeCell ref="BE11:BE12"/>
    <mergeCell ref="BF11:BF12"/>
    <mergeCell ref="BG11:BG12"/>
    <mergeCell ref="CL11:CL12"/>
    <mergeCell ref="CM11:CM12"/>
    <mergeCell ref="CN11:CN12"/>
    <mergeCell ref="CP11:CR11"/>
    <mergeCell ref="CT11:CV11"/>
    <mergeCell ref="CX11:CZ11"/>
    <mergeCell ref="BW11:BW12"/>
    <mergeCell ref="BX11:BX12"/>
    <mergeCell ref="BZ11:CB11"/>
    <mergeCell ref="CD11:CF11"/>
    <mergeCell ref="CH11:CJ11"/>
    <mergeCell ref="CK11:CK12"/>
  </mergeCells>
  <printOptions horizontalCentered="1"/>
  <pageMargins left="0.31496062992125984" right="0.31496062992125984" top="0.74803149606299213" bottom="0.35433070866141736" header="0.31496062992125984" footer="0.31496062992125984"/>
  <pageSetup paperSize="9" scale="75" fitToWidth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13</vt:i4>
      </vt:variant>
    </vt:vector>
  </HeadingPairs>
  <TitlesOfParts>
    <vt:vector size="29" baseType="lpstr">
      <vt:lpstr>Данные</vt:lpstr>
      <vt:lpstr>Список допущенных</vt:lpstr>
      <vt:lpstr>Наградная ведомость</vt:lpstr>
      <vt:lpstr>Абсолют ИТОГ</vt:lpstr>
      <vt:lpstr>ATV СУ</vt:lpstr>
      <vt:lpstr>ATV ИТОГ</vt:lpstr>
      <vt:lpstr>Hard СУ</vt:lpstr>
      <vt:lpstr>Hard ИТОГ</vt:lpstr>
      <vt:lpstr>Medium СУ</vt:lpstr>
      <vt:lpstr>Medium ИТОГ</vt:lpstr>
      <vt:lpstr>SSV СУ</vt:lpstr>
      <vt:lpstr>SSV ИТОГ</vt:lpstr>
      <vt:lpstr>Light СУ</vt:lpstr>
      <vt:lpstr>Light ИТОГ</vt:lpstr>
      <vt:lpstr>Extra Light СУ</vt:lpstr>
      <vt:lpstr>Extra Light ИТОГ</vt:lpstr>
      <vt:lpstr>Class</vt:lpstr>
      <vt:lpstr>Ochk</vt:lpstr>
      <vt:lpstr>'ATV ИТОГ'!Print_Titles</vt:lpstr>
      <vt:lpstr>'Extra Light ИТОГ'!Print_Titles</vt:lpstr>
      <vt:lpstr>'Hard ИТОГ'!Print_Titles</vt:lpstr>
      <vt:lpstr>'Light ИТОГ'!Print_Titles</vt:lpstr>
      <vt:lpstr>'Medium ИТОГ'!Print_Titles</vt:lpstr>
      <vt:lpstr>'SSV ИТОГ'!Print_Titles</vt:lpstr>
      <vt:lpstr>'Абсолют ИТОГ'!Print_Titles</vt:lpstr>
      <vt:lpstr>'Список допущенных'!Print_Titles</vt:lpstr>
      <vt:lpstr>Sort</vt:lpstr>
      <vt:lpstr>SU</vt:lpstr>
      <vt:lpstr>TAB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Полунина Галина Львовна</dc:creator>
  <cp:lastModifiedBy>Natalia Ladanova</cp:lastModifiedBy>
  <cp:lastPrinted>2018-09-15T18:07:54Z</cp:lastPrinted>
  <dcterms:created xsi:type="dcterms:W3CDTF">2018-08-28T06:50:58Z</dcterms:created>
  <dcterms:modified xsi:type="dcterms:W3CDTF">2018-09-15T18:08:23Z</dcterms:modified>
</cp:coreProperties>
</file>